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ate1904="1" defaultThemeVersion="124226"/>
  <mc:AlternateContent xmlns:mc="http://schemas.openxmlformats.org/markup-compatibility/2006">
    <mc:Choice Requires="x15">
      <x15ac:absPath xmlns:x15ac="http://schemas.microsoft.com/office/spreadsheetml/2010/11/ac" url="\\orfileserver.or.wsu.edu\home$\matthew.michener\Desktop\"/>
    </mc:Choice>
  </mc:AlternateContent>
  <xr:revisionPtr revIDLastSave="0" documentId="13_ncr:1_{69BFCA5D-8EBD-43B5-B6F1-1D2528E658FD}" xr6:coauthVersionLast="47" xr6:coauthVersionMax="47" xr10:uidLastSave="{00000000-0000-0000-0000-000000000000}"/>
  <bookViews>
    <workbookView xWindow="-120" yWindow="-120" windowWidth="29040" windowHeight="17640" tabRatio="771" activeTab="1" xr2:uid="{00000000-000D-0000-FFFF-FFFF00000000}"/>
  </bookViews>
  <sheets>
    <sheet name="Instructions" sheetId="101" r:id="rId1"/>
    <sheet name="WSU Budget FY24" sheetId="103" r:id="rId2"/>
    <sheet name="CS Budget  FY24" sheetId="98" r:id="rId3"/>
    <sheet name=" MOD BUDGET" sheetId="99" r:id="rId4"/>
    <sheet name="PIs, Co-PIs, Other Personnel" sheetId="43" state="hidden" r:id="rId5"/>
    <sheet name="EBCALC " sheetId="100" r:id="rId6"/>
    <sheet name="EBCALC_FY13" sheetId="93" state="hidden" r:id="rId7"/>
    <sheet name="EBCALC_FY12 " sheetId="70" state="hidden" r:id="rId8"/>
    <sheet name="FY12 BEN" sheetId="81" state="hidden" r:id="rId9"/>
    <sheet name="BEN FY" sheetId="83" state="hidden" r:id="rId10"/>
    <sheet name="FY11 Benefits Model" sheetId="34" state="hidden" r:id="rId11"/>
    <sheet name="FY11 Est Bens" sheetId="71" state="hidden" r:id="rId12"/>
    <sheet name="FY12 Draft Bens" sheetId="72" state="hidden" r:id="rId13"/>
    <sheet name="Est Bens 12 Draft" sheetId="73" state="hidden" r:id="rId14"/>
    <sheet name="FY24 DRAFT BEN MODEL" sheetId="104" r:id="rId15"/>
    <sheet name="BEN FINAL RATES FY24" sheetId="92" r:id="rId16"/>
    <sheet name="Person Months Calculator" sheetId="24" r:id="rId17"/>
    <sheet name="Assistantship Sal Grid Jan2023" sheetId="102" r:id="rId18"/>
    <sheet name="GRA 26-60 Matrices" sheetId="58" r:id="rId19"/>
    <sheet name="GRA MBA Matrix" sheetId="25" r:id="rId20"/>
    <sheet name="COS GRA Matrix" sheetId="19" r:id="rId21"/>
    <sheet name="DVM GRA Matrix" sheetId="18" r:id="rId22"/>
    <sheet name="Pharmacy GRA Matrix" sheetId="56" r:id="rId23"/>
    <sheet name="Nursing GRA Matrices" sheetId="55" r:id="rId24"/>
    <sheet name="USDA FA comparison" sheetId="74" state="hidden" r:id="rId25"/>
  </sheets>
  <definedNames>
    <definedName name="_Regression_Int" localSheetId="5" hidden="1">1</definedName>
    <definedName name="_Regression_Int" localSheetId="7" hidden="1">1</definedName>
    <definedName name="_Regression_Int" localSheetId="6" hidden="1">1</definedName>
    <definedName name="NIH_MODULAR_BUDGET_populates_from_WSU_budget_template_and_starts_on_line_128" localSheetId="3">' MOD BUDGET'!$A$139</definedName>
    <definedName name="NIH_MODULAR_BUDGET_populates_from_WSU_budget_template_and_starts_on_line_128" localSheetId="1">#REF!</definedName>
    <definedName name="NIH_MODULAR_BUDGET_populates_from_WSU_budget_template_and_starts_on_line_128">#REF!</definedName>
    <definedName name="_xlnm.Print_Area" localSheetId="3">' MOD BUDGET'!$A$2:$N$128</definedName>
    <definedName name="_xlnm.Print_Area" localSheetId="2">'CS Budget  FY24'!$A$2:$N$126</definedName>
    <definedName name="_xlnm.Print_Area" localSheetId="21">'DVM GRA Matrix'!$A$3:$R$56</definedName>
    <definedName name="_xlnm.Print_Area" localSheetId="10">'FY11 Benefits Model'!$A$1:$H$63</definedName>
    <definedName name="_xlnm.Print_Area" localSheetId="8">'FY12 BEN'!$A$1:$H$65</definedName>
    <definedName name="_xlnm.Print_Area" localSheetId="12">'FY12 Draft Bens'!$A$1:$H$65</definedName>
    <definedName name="_xlnm.Print_Area" localSheetId="18">'GRA 26-60 Matrices'!$A$1:$R$96</definedName>
    <definedName name="_xlnm.Print_Area" localSheetId="19">'GRA MBA Matrix'!$A$1:$R$54</definedName>
    <definedName name="_xlnm.Print_Area" localSheetId="22">'Pharmacy GRA Matrix'!$A$1:$R$54</definedName>
    <definedName name="_xlnm.Print_Area" localSheetId="1">'WSU Budget FY24'!$A$2:$N$120</definedName>
    <definedName name="Print_Area_MI" localSheetId="5">'EBCALC '!$A$1:$K$44</definedName>
    <definedName name="Print_Area_MI" localSheetId="7">'EBCALC_FY12 '!$A$1:$K$40</definedName>
    <definedName name="Print_Area_MI" localSheetId="6">EBCALC_FY13!$A$1:$K$40</definedName>
    <definedName name="RANGE1">Instructions!$A$13:$A$15</definedName>
    <definedName name="RANGE2">Instructions!$A$17:$A$18</definedName>
    <definedName name="RANGE3">Instructions!$A$20:$A$22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4" i="102" l="1"/>
  <c r="E124" i="102" s="1"/>
  <c r="E123" i="102"/>
  <c r="C123" i="102"/>
  <c r="D123" i="102" s="1"/>
  <c r="D122" i="102"/>
  <c r="C122" i="102"/>
  <c r="E122" i="102" s="1"/>
  <c r="C121" i="102"/>
  <c r="E121" i="102" s="1"/>
  <c r="E120" i="102"/>
  <c r="D120" i="102"/>
  <c r="C120" i="102"/>
  <c r="E119" i="102"/>
  <c r="C119" i="102"/>
  <c r="D119" i="102" s="1"/>
  <c r="D118" i="102"/>
  <c r="C118" i="102"/>
  <c r="E118" i="102" s="1"/>
  <c r="C117" i="102"/>
  <c r="E117" i="102" s="1"/>
  <c r="E116" i="102"/>
  <c r="D116" i="102"/>
  <c r="C116" i="102"/>
  <c r="E115" i="102"/>
  <c r="C115" i="102"/>
  <c r="D115" i="102" s="1"/>
  <c r="D114" i="102"/>
  <c r="C114" i="102"/>
  <c r="E114" i="102" s="1"/>
  <c r="C113" i="102"/>
  <c r="E113" i="102" s="1"/>
  <c r="E112" i="102"/>
  <c r="D112" i="102"/>
  <c r="C112" i="102"/>
  <c r="E111" i="102"/>
  <c r="C111" i="102"/>
  <c r="D111" i="102" s="1"/>
  <c r="D110" i="102"/>
  <c r="C110" i="102"/>
  <c r="E110" i="102" s="1"/>
  <c r="C109" i="102"/>
  <c r="E109" i="102" s="1"/>
  <c r="D108" i="102"/>
  <c r="C108" i="102"/>
  <c r="E108" i="102" s="1"/>
  <c r="E107" i="102"/>
  <c r="C107" i="102"/>
  <c r="D107" i="102" s="1"/>
  <c r="D106" i="102"/>
  <c r="C106" i="102"/>
  <c r="E106" i="102" s="1"/>
  <c r="C105" i="102"/>
  <c r="E105" i="102" s="1"/>
  <c r="D104" i="102"/>
  <c r="C104" i="102"/>
  <c r="E104" i="102" s="1"/>
  <c r="E103" i="102"/>
  <c r="C103" i="102"/>
  <c r="D103" i="102" s="1"/>
  <c r="D102" i="102"/>
  <c r="C102" i="102"/>
  <c r="E102" i="102" s="1"/>
  <c r="C101" i="102"/>
  <c r="E101" i="102" s="1"/>
  <c r="D100" i="102"/>
  <c r="C100" i="102"/>
  <c r="E100" i="102" s="1"/>
  <c r="E99" i="102"/>
  <c r="C99" i="102"/>
  <c r="D99" i="102" s="1"/>
  <c r="D98" i="102"/>
  <c r="C98" i="102"/>
  <c r="E98" i="102" s="1"/>
  <c r="C97" i="102"/>
  <c r="E97" i="102" s="1"/>
  <c r="D96" i="102"/>
  <c r="C96" i="102"/>
  <c r="E96" i="102" s="1"/>
  <c r="E95" i="102"/>
  <c r="C95" i="102"/>
  <c r="D95" i="102" s="1"/>
  <c r="D94" i="102"/>
  <c r="C94" i="102"/>
  <c r="E94" i="102" s="1"/>
  <c r="C93" i="102"/>
  <c r="E93" i="102" s="1"/>
  <c r="D92" i="102"/>
  <c r="C92" i="102"/>
  <c r="E92" i="102" s="1"/>
  <c r="E91" i="102"/>
  <c r="C91" i="102"/>
  <c r="D91" i="102" s="1"/>
  <c r="D90" i="102"/>
  <c r="C90" i="102"/>
  <c r="E90" i="102" s="1"/>
  <c r="C89" i="102"/>
  <c r="E89" i="102" s="1"/>
  <c r="D88" i="102"/>
  <c r="C88" i="102"/>
  <c r="E88" i="102" s="1"/>
  <c r="E87" i="102"/>
  <c r="C87" i="102"/>
  <c r="D87" i="102" s="1"/>
  <c r="D86" i="102"/>
  <c r="C86" i="102"/>
  <c r="E86" i="102" s="1"/>
  <c r="C85" i="102"/>
  <c r="E85" i="102" s="1"/>
  <c r="D83" i="102"/>
  <c r="C83" i="102"/>
  <c r="E83" i="102" s="1"/>
  <c r="E82" i="102"/>
  <c r="C82" i="102"/>
  <c r="D82" i="102" s="1"/>
  <c r="D81" i="102"/>
  <c r="C81" i="102"/>
  <c r="E81" i="102" s="1"/>
  <c r="C80" i="102"/>
  <c r="E80" i="102" s="1"/>
  <c r="D79" i="102"/>
  <c r="C79" i="102"/>
  <c r="E79" i="102" s="1"/>
  <c r="E78" i="102"/>
  <c r="C78" i="102"/>
  <c r="D78" i="102" s="1"/>
  <c r="D77" i="102"/>
  <c r="C77" i="102"/>
  <c r="E77" i="102" s="1"/>
  <c r="C76" i="102"/>
  <c r="E76" i="102" s="1"/>
  <c r="D75" i="102"/>
  <c r="C75" i="102"/>
  <c r="E75" i="102" s="1"/>
  <c r="E74" i="102"/>
  <c r="C74" i="102"/>
  <c r="D74" i="102" s="1"/>
  <c r="D73" i="102"/>
  <c r="C73" i="102"/>
  <c r="E73" i="102" s="1"/>
  <c r="C72" i="102"/>
  <c r="E72" i="102" s="1"/>
  <c r="D71" i="102"/>
  <c r="C71" i="102"/>
  <c r="E71" i="102" s="1"/>
  <c r="E70" i="102"/>
  <c r="C70" i="102"/>
  <c r="D70" i="102" s="1"/>
  <c r="D69" i="102"/>
  <c r="C69" i="102"/>
  <c r="E69" i="102" s="1"/>
  <c r="C68" i="102"/>
  <c r="E68" i="102" s="1"/>
  <c r="D67" i="102"/>
  <c r="C67" i="102"/>
  <c r="E67" i="102" s="1"/>
  <c r="E66" i="102"/>
  <c r="C66" i="102"/>
  <c r="D66" i="102" s="1"/>
  <c r="D65" i="102"/>
  <c r="C65" i="102"/>
  <c r="E65" i="102" s="1"/>
  <c r="C64" i="102"/>
  <c r="E64" i="102" s="1"/>
  <c r="D63" i="102"/>
  <c r="C63" i="102"/>
  <c r="E63" i="102" s="1"/>
  <c r="E62" i="102"/>
  <c r="C62" i="102"/>
  <c r="D62" i="102" s="1"/>
  <c r="D61" i="102"/>
  <c r="C61" i="102"/>
  <c r="E61" i="102" s="1"/>
  <c r="C60" i="102"/>
  <c r="E60" i="102" s="1"/>
  <c r="D59" i="102"/>
  <c r="C59" i="102"/>
  <c r="E59" i="102" s="1"/>
  <c r="E58" i="102"/>
  <c r="C58" i="102"/>
  <c r="D58" i="102" s="1"/>
  <c r="D57" i="102"/>
  <c r="C57" i="102"/>
  <c r="E57" i="102" s="1"/>
  <c r="C56" i="102"/>
  <c r="E56" i="102" s="1"/>
  <c r="D55" i="102"/>
  <c r="C55" i="102"/>
  <c r="E55" i="102" s="1"/>
  <c r="E54" i="102"/>
  <c r="C54" i="102"/>
  <c r="D54" i="102" s="1"/>
  <c r="D53" i="102"/>
  <c r="C53" i="102"/>
  <c r="E53" i="102" s="1"/>
  <c r="C52" i="102"/>
  <c r="E52" i="102" s="1"/>
  <c r="D51" i="102"/>
  <c r="C51" i="102"/>
  <c r="E51" i="102" s="1"/>
  <c r="E50" i="102"/>
  <c r="C50" i="102"/>
  <c r="D50" i="102" s="1"/>
  <c r="D49" i="102"/>
  <c r="C49" i="102"/>
  <c r="E49" i="102" s="1"/>
  <c r="C48" i="102"/>
  <c r="E48" i="102" s="1"/>
  <c r="D47" i="102"/>
  <c r="C47" i="102"/>
  <c r="E47" i="102" s="1"/>
  <c r="E46" i="102"/>
  <c r="C46" i="102"/>
  <c r="D46" i="102" s="1"/>
  <c r="D45" i="102"/>
  <c r="C45" i="102"/>
  <c r="E45" i="102" s="1"/>
  <c r="C44" i="102"/>
  <c r="E44" i="102" s="1"/>
  <c r="D43" i="102"/>
  <c r="C43" i="102"/>
  <c r="E43" i="102" s="1"/>
  <c r="E42" i="102"/>
  <c r="C42" i="102"/>
  <c r="D42" i="102" s="1"/>
  <c r="D41" i="102"/>
  <c r="C41" i="102"/>
  <c r="E41" i="102" s="1"/>
  <c r="C39" i="102"/>
  <c r="E39" i="102" s="1"/>
  <c r="D38" i="102"/>
  <c r="C38" i="102"/>
  <c r="E38" i="102" s="1"/>
  <c r="E37" i="102"/>
  <c r="C37" i="102"/>
  <c r="D37" i="102" s="1"/>
  <c r="D36" i="102"/>
  <c r="C36" i="102"/>
  <c r="E36" i="102" s="1"/>
  <c r="C35" i="102"/>
  <c r="E35" i="102" s="1"/>
  <c r="D34" i="102"/>
  <c r="C34" i="102"/>
  <c r="E34" i="102" s="1"/>
  <c r="E33" i="102"/>
  <c r="C33" i="102"/>
  <c r="D33" i="102" s="1"/>
  <c r="D32" i="102"/>
  <c r="C32" i="102"/>
  <c r="E32" i="102" s="1"/>
  <c r="C31" i="102"/>
  <c r="E31" i="102" s="1"/>
  <c r="D30" i="102"/>
  <c r="C30" i="102"/>
  <c r="E30" i="102" s="1"/>
  <c r="E29" i="102"/>
  <c r="C29" i="102"/>
  <c r="D29" i="102" s="1"/>
  <c r="E28" i="102"/>
  <c r="D28" i="102"/>
  <c r="C28" i="102"/>
  <c r="C27" i="102"/>
  <c r="E27" i="102" s="1"/>
  <c r="D26" i="102"/>
  <c r="C26" i="102"/>
  <c r="E26" i="102" s="1"/>
  <c r="E25" i="102"/>
  <c r="C25" i="102"/>
  <c r="D25" i="102" s="1"/>
  <c r="E24" i="102"/>
  <c r="D24" i="102"/>
  <c r="C24" i="102"/>
  <c r="C23" i="102"/>
  <c r="E23" i="102" s="1"/>
  <c r="D22" i="102"/>
  <c r="C22" i="102"/>
  <c r="E22" i="102" s="1"/>
  <c r="E21" i="102"/>
  <c r="C21" i="102"/>
  <c r="D21" i="102" s="1"/>
  <c r="E20" i="102"/>
  <c r="D20" i="102"/>
  <c r="C20" i="102"/>
  <c r="C19" i="102"/>
  <c r="E19" i="102" s="1"/>
  <c r="D18" i="102"/>
  <c r="C18" i="102"/>
  <c r="E18" i="102" s="1"/>
  <c r="E17" i="102"/>
  <c r="C17" i="102"/>
  <c r="D17" i="102" s="1"/>
  <c r="D16" i="102"/>
  <c r="C16" i="102"/>
  <c r="E16" i="102" s="1"/>
  <c r="C15" i="102"/>
  <c r="E15" i="102" s="1"/>
  <c r="D14" i="102"/>
  <c r="C14" i="102"/>
  <c r="E14" i="102" s="1"/>
  <c r="E13" i="102"/>
  <c r="C13" i="102"/>
  <c r="D13" i="102" s="1"/>
  <c r="E12" i="102"/>
  <c r="D12" i="102"/>
  <c r="C12" i="102"/>
  <c r="C11" i="102"/>
  <c r="E11" i="102" s="1"/>
  <c r="D10" i="102"/>
  <c r="C10" i="102"/>
  <c r="E10" i="102" s="1"/>
  <c r="E9" i="102"/>
  <c r="C9" i="102"/>
  <c r="D9" i="102" s="1"/>
  <c r="E8" i="102"/>
  <c r="D8" i="102"/>
  <c r="C8" i="102"/>
  <c r="C7" i="102"/>
  <c r="E7" i="102" s="1"/>
  <c r="D6" i="102"/>
  <c r="C6" i="102"/>
  <c r="E6" i="102" s="1"/>
  <c r="E5" i="102"/>
  <c r="C5" i="102"/>
  <c r="D5" i="102" s="1"/>
  <c r="D7" i="102" l="1"/>
  <c r="D11" i="102"/>
  <c r="D15" i="102"/>
  <c r="D19" i="102"/>
  <c r="D23" i="102"/>
  <c r="D27" i="102"/>
  <c r="D31" i="102"/>
  <c r="D35" i="102"/>
  <c r="D39" i="102"/>
  <c r="D44" i="102"/>
  <c r="D48" i="102"/>
  <c r="D52" i="102"/>
  <c r="D56" i="102"/>
  <c r="D60" i="102"/>
  <c r="D64" i="102"/>
  <c r="D68" i="102"/>
  <c r="D72" i="102"/>
  <c r="D76" i="102"/>
  <c r="D80" i="102"/>
  <c r="D85" i="102"/>
  <c r="D89" i="102"/>
  <c r="D93" i="102"/>
  <c r="D97" i="102"/>
  <c r="D101" i="102"/>
  <c r="D105" i="102"/>
  <c r="D109" i="102"/>
  <c r="D113" i="102"/>
  <c r="D117" i="102"/>
  <c r="D121" i="102"/>
  <c r="D124" i="102"/>
  <c r="N117" i="99"/>
  <c r="M117" i="99"/>
  <c r="L117" i="99"/>
  <c r="K117" i="99"/>
  <c r="J117" i="99"/>
  <c r="I117" i="99"/>
  <c r="H117" i="99"/>
  <c r="N109" i="103"/>
  <c r="M109" i="103"/>
  <c r="L109" i="103"/>
  <c r="K109" i="103"/>
  <c r="J109" i="103"/>
  <c r="I109" i="103"/>
  <c r="H109" i="103"/>
  <c r="N115" i="98"/>
  <c r="M115" i="98"/>
  <c r="L115" i="98"/>
  <c r="K115" i="98"/>
  <c r="J115" i="98"/>
  <c r="I115" i="98"/>
  <c r="H6" i="99"/>
  <c r="M123" i="98" l="1"/>
  <c r="H43" i="99"/>
  <c r="H123" i="99" s="1"/>
  <c r="O63" i="99"/>
  <c r="O64" i="98"/>
  <c r="O65" i="103"/>
  <c r="H43" i="98"/>
  <c r="H6" i="103"/>
  <c r="H7" i="103" s="1"/>
  <c r="H29" i="103"/>
  <c r="H43" i="103"/>
  <c r="H115" i="103" s="1"/>
  <c r="C33" i="100"/>
  <c r="C31" i="100"/>
  <c r="D31" i="100" s="1"/>
  <c r="D11" i="100"/>
  <c r="D13" i="100"/>
  <c r="L47" i="100" s="1"/>
  <c r="G19" i="100"/>
  <c r="K19" i="100" s="1"/>
  <c r="L19" i="100" s="1"/>
  <c r="G30" i="100"/>
  <c r="G9" i="100"/>
  <c r="K9" i="100" s="1"/>
  <c r="C10" i="100"/>
  <c r="O22" i="100" s="1"/>
  <c r="P22" i="100" s="1"/>
  <c r="C9" i="100"/>
  <c r="D9" i="100" s="1"/>
  <c r="C8" i="100"/>
  <c r="C7" i="100"/>
  <c r="D34" i="100"/>
  <c r="Y89" i="58"/>
  <c r="Y28" i="55" s="1"/>
  <c r="Y88" i="58"/>
  <c r="Z88" i="58" s="1"/>
  <c r="AC88" i="58"/>
  <c r="A22" i="101"/>
  <c r="E136" i="99" s="1"/>
  <c r="A21" i="101"/>
  <c r="E133" i="98" s="1"/>
  <c r="A20" i="101"/>
  <c r="E132" i="98" s="1"/>
  <c r="A17" i="101"/>
  <c r="A14" i="101"/>
  <c r="A13" i="101"/>
  <c r="A11" i="101"/>
  <c r="A10" i="101"/>
  <c r="D25" i="100"/>
  <c r="L46" i="100"/>
  <c r="H46" i="100"/>
  <c r="D12" i="100"/>
  <c r="L32" i="100"/>
  <c r="H32" i="100"/>
  <c r="G33" i="100"/>
  <c r="K33" i="100"/>
  <c r="P21" i="100"/>
  <c r="L21" i="100"/>
  <c r="H21" i="100"/>
  <c r="P12" i="100"/>
  <c r="L12" i="100"/>
  <c r="H12" i="100"/>
  <c r="I25" i="103"/>
  <c r="I21" i="103"/>
  <c r="I25" i="98"/>
  <c r="J25" i="98" s="1"/>
  <c r="K25" i="98" s="1"/>
  <c r="I21" i="98"/>
  <c r="N68" i="99"/>
  <c r="N69" i="99"/>
  <c r="N70" i="99"/>
  <c r="H71" i="99"/>
  <c r="I71" i="99"/>
  <c r="J71" i="99"/>
  <c r="K71" i="99"/>
  <c r="L71" i="99"/>
  <c r="M71" i="99"/>
  <c r="I25" i="99"/>
  <c r="J25" i="99" s="1"/>
  <c r="K25" i="99" s="1"/>
  <c r="L25" i="99" s="1"/>
  <c r="M25" i="99" s="1"/>
  <c r="I21" i="99"/>
  <c r="X27" i="56"/>
  <c r="D33" i="100"/>
  <c r="K30" i="100"/>
  <c r="A1" i="99"/>
  <c r="A1" i="98"/>
  <c r="D26" i="100"/>
  <c r="D27" i="100" s="1"/>
  <c r="D29" i="100" s="1"/>
  <c r="K45" i="100"/>
  <c r="G45" i="100"/>
  <c r="L43" i="100"/>
  <c r="H43" i="100"/>
  <c r="K42" i="100"/>
  <c r="L42" i="100" s="1"/>
  <c r="G42" i="100"/>
  <c r="H42" i="100"/>
  <c r="L30" i="100"/>
  <c r="H30" i="100"/>
  <c r="K29" i="100"/>
  <c r="L29" i="100" s="1"/>
  <c r="G29" i="100"/>
  <c r="H29" i="100" s="1"/>
  <c r="K28" i="100"/>
  <c r="L28" i="100" s="1"/>
  <c r="O23" i="100"/>
  <c r="K22" i="100"/>
  <c r="G22" i="100"/>
  <c r="P20" i="100"/>
  <c r="P19" i="100"/>
  <c r="H19" i="100"/>
  <c r="O18" i="100"/>
  <c r="P18" i="100" s="1"/>
  <c r="K18" i="100"/>
  <c r="L18" i="100" s="1"/>
  <c r="G18" i="100"/>
  <c r="H18" i="100" s="1"/>
  <c r="O11" i="100"/>
  <c r="K11" i="100"/>
  <c r="G11" i="100"/>
  <c r="P9" i="100"/>
  <c r="O8" i="100"/>
  <c r="P8" i="100" s="1"/>
  <c r="K8" i="100"/>
  <c r="L8" i="100"/>
  <c r="G8" i="100"/>
  <c r="H8" i="100" s="1"/>
  <c r="D8" i="100"/>
  <c r="P7" i="100"/>
  <c r="I22" i="99"/>
  <c r="J22" i="99" s="1"/>
  <c r="K22" i="99" s="1"/>
  <c r="L22" i="99" s="1"/>
  <c r="M22" i="99" s="1"/>
  <c r="N22" i="99" s="1"/>
  <c r="AB28" i="25"/>
  <c r="M117" i="103"/>
  <c r="B106" i="103"/>
  <c r="O99" i="103"/>
  <c r="N99" i="103"/>
  <c r="H97" i="103"/>
  <c r="O96" i="103"/>
  <c r="M91" i="103"/>
  <c r="L91" i="103"/>
  <c r="K91" i="103"/>
  <c r="J91" i="103"/>
  <c r="I91" i="103"/>
  <c r="H91" i="103"/>
  <c r="M90" i="103"/>
  <c r="L90" i="103"/>
  <c r="K90" i="103"/>
  <c r="J90" i="103"/>
  <c r="I90" i="103"/>
  <c r="H90" i="103"/>
  <c r="M88" i="103"/>
  <c r="L88" i="103"/>
  <c r="K88" i="103"/>
  <c r="K93" i="103" s="1"/>
  <c r="J88" i="103"/>
  <c r="J93" i="103" s="1"/>
  <c r="I88" i="103"/>
  <c r="I93" i="103" s="1"/>
  <c r="H88" i="103"/>
  <c r="M87" i="103"/>
  <c r="M92" i="103" s="1"/>
  <c r="L87" i="103"/>
  <c r="K87" i="103"/>
  <c r="J87" i="103"/>
  <c r="I87" i="103"/>
  <c r="I92" i="103" s="1"/>
  <c r="H87" i="103"/>
  <c r="H92" i="103" s="1"/>
  <c r="M84" i="103"/>
  <c r="L84" i="103"/>
  <c r="L116" i="103" s="1"/>
  <c r="K84" i="103"/>
  <c r="J84" i="103"/>
  <c r="I84" i="103"/>
  <c r="I116" i="103" s="1"/>
  <c r="H84" i="103"/>
  <c r="H116" i="103" s="1"/>
  <c r="N83" i="103"/>
  <c r="N82" i="103"/>
  <c r="N81" i="103"/>
  <c r="N80" i="103"/>
  <c r="M78" i="103"/>
  <c r="L78" i="103"/>
  <c r="K78" i="103"/>
  <c r="J78" i="103"/>
  <c r="J113" i="103" s="1"/>
  <c r="I78" i="103"/>
  <c r="I98" i="103" s="1"/>
  <c r="H78" i="103"/>
  <c r="H98" i="103" s="1"/>
  <c r="N77" i="103"/>
  <c r="N76" i="103"/>
  <c r="N75" i="103"/>
  <c r="M73" i="103"/>
  <c r="L73" i="103"/>
  <c r="K73" i="103"/>
  <c r="J73" i="103"/>
  <c r="I73" i="103"/>
  <c r="H73" i="103"/>
  <c r="N72" i="103"/>
  <c r="N71" i="103"/>
  <c r="N70" i="103"/>
  <c r="M68" i="103"/>
  <c r="M112" i="103" s="1"/>
  <c r="L68" i="103"/>
  <c r="L112" i="103" s="1"/>
  <c r="K68" i="103"/>
  <c r="K112" i="103" s="1"/>
  <c r="J68" i="103"/>
  <c r="J112" i="103" s="1"/>
  <c r="I68" i="103"/>
  <c r="I112" i="103" s="1"/>
  <c r="H68" i="103"/>
  <c r="N67" i="103"/>
  <c r="N66" i="103"/>
  <c r="N65" i="103"/>
  <c r="O64" i="103"/>
  <c r="N64" i="103"/>
  <c r="M62" i="103"/>
  <c r="M111" i="103" s="1"/>
  <c r="L62" i="103"/>
  <c r="L111" i="103" s="1"/>
  <c r="K62" i="103"/>
  <c r="K111" i="103" s="1"/>
  <c r="J62" i="103"/>
  <c r="J111" i="103" s="1"/>
  <c r="I62" i="103"/>
  <c r="I111" i="103" s="1"/>
  <c r="H62" i="103"/>
  <c r="H111" i="103" s="1"/>
  <c r="N61" i="103"/>
  <c r="N60" i="103"/>
  <c r="N59" i="103"/>
  <c r="N58" i="103"/>
  <c r="N57" i="103"/>
  <c r="N56" i="103"/>
  <c r="N55" i="103"/>
  <c r="N54" i="103"/>
  <c r="N53" i="103"/>
  <c r="M51" i="103"/>
  <c r="M110" i="103" s="1"/>
  <c r="L51" i="103"/>
  <c r="L110" i="103" s="1"/>
  <c r="K51" i="103"/>
  <c r="K110" i="103" s="1"/>
  <c r="J51" i="103"/>
  <c r="J110" i="103" s="1"/>
  <c r="I51" i="103"/>
  <c r="I110" i="103" s="1"/>
  <c r="H51" i="103"/>
  <c r="N50" i="103"/>
  <c r="N49" i="103"/>
  <c r="N48" i="103"/>
  <c r="N47" i="103"/>
  <c r="H37" i="103"/>
  <c r="H35" i="103"/>
  <c r="H33" i="103"/>
  <c r="H31" i="103"/>
  <c r="I31" i="103" s="1"/>
  <c r="I32" i="103" s="1"/>
  <c r="H27" i="103"/>
  <c r="I26" i="103"/>
  <c r="J26" i="103" s="1"/>
  <c r="K26" i="103" s="1"/>
  <c r="L26" i="103" s="1"/>
  <c r="M26" i="103" s="1"/>
  <c r="I24" i="103"/>
  <c r="I27" i="103" s="1"/>
  <c r="H23" i="103"/>
  <c r="I22" i="103"/>
  <c r="J22" i="103" s="1"/>
  <c r="K22" i="103" s="1"/>
  <c r="L22" i="103" s="1"/>
  <c r="M22" i="103" s="1"/>
  <c r="N22" i="103" s="1"/>
  <c r="I20" i="103"/>
  <c r="H18" i="103"/>
  <c r="I18" i="103" s="1"/>
  <c r="I19" i="103" s="1"/>
  <c r="H16" i="103"/>
  <c r="H14" i="103"/>
  <c r="I14" i="103" s="1"/>
  <c r="J14" i="103" s="1"/>
  <c r="H12" i="103"/>
  <c r="I12" i="103" s="1"/>
  <c r="I13" i="103" s="1"/>
  <c r="H10" i="103"/>
  <c r="H8" i="103"/>
  <c r="L100" i="103"/>
  <c r="V1" i="55"/>
  <c r="V8" i="58"/>
  <c r="W8" i="58" s="1"/>
  <c r="R26" i="58" s="1"/>
  <c r="V7" i="58"/>
  <c r="V6" i="58"/>
  <c r="V5" i="58"/>
  <c r="V4" i="58"/>
  <c r="V3" i="58"/>
  <c r="V2" i="58"/>
  <c r="V1" i="58"/>
  <c r="U2" i="25"/>
  <c r="M85" i="99"/>
  <c r="M88" i="99"/>
  <c r="M86" i="99"/>
  <c r="M89" i="99"/>
  <c r="I60" i="99"/>
  <c r="I119" i="99" s="1"/>
  <c r="I85" i="99"/>
  <c r="I88" i="99"/>
  <c r="I90" i="99" s="1"/>
  <c r="I86" i="99"/>
  <c r="I91" i="99" s="1"/>
  <c r="I89" i="99"/>
  <c r="J60" i="99"/>
  <c r="J119" i="99"/>
  <c r="J85" i="99"/>
  <c r="J90" i="99" s="1"/>
  <c r="J88" i="99"/>
  <c r="J86" i="99"/>
  <c r="J89" i="99"/>
  <c r="K60" i="99"/>
  <c r="K119" i="99" s="1"/>
  <c r="K85" i="99"/>
  <c r="K88" i="99"/>
  <c r="K86" i="99"/>
  <c r="K89" i="99"/>
  <c r="L60" i="99"/>
  <c r="L119" i="99" s="1"/>
  <c r="L85" i="99"/>
  <c r="L88" i="99"/>
  <c r="L90" i="99" s="1"/>
  <c r="L86" i="99"/>
  <c r="L89" i="99"/>
  <c r="H60" i="99"/>
  <c r="H119" i="99"/>
  <c r="H85" i="99"/>
  <c r="H90" i="99" s="1"/>
  <c r="H88" i="99"/>
  <c r="H86" i="99"/>
  <c r="H89" i="99"/>
  <c r="AB89" i="58"/>
  <c r="V1" i="19"/>
  <c r="BE29" i="58"/>
  <c r="BD29" i="58"/>
  <c r="BC29" i="58"/>
  <c r="BB29" i="58"/>
  <c r="BA29" i="58"/>
  <c r="AZ29" i="58"/>
  <c r="AY29" i="58"/>
  <c r="AX29" i="58"/>
  <c r="AW29" i="58"/>
  <c r="AV29" i="58"/>
  <c r="AU29" i="58"/>
  <c r="AT29" i="58"/>
  <c r="AS29" i="58"/>
  <c r="AR29" i="58"/>
  <c r="AQ29" i="58"/>
  <c r="AP29" i="58"/>
  <c r="BE28" i="58"/>
  <c r="BD28" i="58"/>
  <c r="BC28" i="58"/>
  <c r="BB28" i="58"/>
  <c r="BA28" i="58"/>
  <c r="AZ28" i="58"/>
  <c r="AY28" i="58"/>
  <c r="AX28" i="58"/>
  <c r="AW28" i="58"/>
  <c r="AV28" i="58"/>
  <c r="AU28" i="58"/>
  <c r="AT28" i="58"/>
  <c r="AS28" i="58"/>
  <c r="AR28" i="58"/>
  <c r="AQ28" i="58"/>
  <c r="AP28" i="58"/>
  <c r="BE27" i="58"/>
  <c r="BD27" i="58"/>
  <c r="BC27" i="58"/>
  <c r="BB27" i="58"/>
  <c r="BA27" i="58"/>
  <c r="AZ27" i="58"/>
  <c r="AY27" i="58"/>
  <c r="AX27" i="58"/>
  <c r="AW27" i="58"/>
  <c r="AV27" i="58"/>
  <c r="AU27" i="58"/>
  <c r="AT27" i="58"/>
  <c r="AS27" i="58"/>
  <c r="AR27" i="58"/>
  <c r="AQ27" i="58"/>
  <c r="AP27" i="58"/>
  <c r="BE25" i="58"/>
  <c r="BD25" i="58"/>
  <c r="BC25" i="58"/>
  <c r="BB25" i="58"/>
  <c r="BA25" i="58"/>
  <c r="AZ25" i="58"/>
  <c r="AY25" i="58"/>
  <c r="AX25" i="58"/>
  <c r="AW25" i="58"/>
  <c r="AV25" i="58"/>
  <c r="AU25" i="58"/>
  <c r="AT25" i="58"/>
  <c r="AS25" i="58"/>
  <c r="AR25" i="58"/>
  <c r="AQ25" i="58"/>
  <c r="AP25" i="58"/>
  <c r="BE24" i="58"/>
  <c r="BD24" i="58"/>
  <c r="BC24" i="58"/>
  <c r="BB24" i="58"/>
  <c r="BA24" i="58"/>
  <c r="AZ24" i="58"/>
  <c r="AY24" i="58"/>
  <c r="AX24" i="58"/>
  <c r="AW24" i="58"/>
  <c r="AV24" i="58"/>
  <c r="AU24" i="58"/>
  <c r="AT24" i="58"/>
  <c r="AS24" i="58"/>
  <c r="AR24" i="58"/>
  <c r="AQ24" i="58"/>
  <c r="AP24" i="58"/>
  <c r="BE23" i="58"/>
  <c r="BD23" i="58"/>
  <c r="BC23" i="58"/>
  <c r="BB23" i="58"/>
  <c r="BA23" i="58"/>
  <c r="AZ23" i="58"/>
  <c r="AY23" i="58"/>
  <c r="AX23" i="58"/>
  <c r="AW23" i="58"/>
  <c r="AV23" i="58"/>
  <c r="AU23" i="58"/>
  <c r="AT23" i="58"/>
  <c r="AS23" i="58"/>
  <c r="AR23" i="58"/>
  <c r="AQ23" i="58"/>
  <c r="AP23" i="58"/>
  <c r="R23" i="58"/>
  <c r="Q23" i="58"/>
  <c r="P23" i="58"/>
  <c r="O23" i="58"/>
  <c r="N23" i="58"/>
  <c r="M23" i="58"/>
  <c r="L23" i="58"/>
  <c r="K23" i="58"/>
  <c r="J23" i="58"/>
  <c r="I23" i="58"/>
  <c r="H23" i="58"/>
  <c r="G23" i="58"/>
  <c r="F23" i="58"/>
  <c r="E23" i="58"/>
  <c r="D23" i="58"/>
  <c r="C23" i="58"/>
  <c r="W21" i="58"/>
  <c r="W32" i="58"/>
  <c r="C34" i="58"/>
  <c r="D34" i="58"/>
  <c r="E34" i="58"/>
  <c r="F34" i="58"/>
  <c r="G34" i="58"/>
  <c r="H34" i="58"/>
  <c r="I34" i="58"/>
  <c r="J34" i="58"/>
  <c r="K34" i="58"/>
  <c r="L34" i="58"/>
  <c r="M34" i="58"/>
  <c r="N34" i="58"/>
  <c r="O34" i="58"/>
  <c r="P34" i="58"/>
  <c r="Q34" i="58"/>
  <c r="R34" i="58"/>
  <c r="AP34" i="58"/>
  <c r="AP11" i="58" s="1"/>
  <c r="AQ34" i="58"/>
  <c r="AR34" i="58"/>
  <c r="AR11" i="58"/>
  <c r="AS34" i="58"/>
  <c r="AS11" i="58" s="1"/>
  <c r="AT34" i="58"/>
  <c r="AU34" i="58"/>
  <c r="AV34" i="58"/>
  <c r="AV11" i="58" s="1"/>
  <c r="AW34" i="58"/>
  <c r="AW11" i="58" s="1"/>
  <c r="AX34" i="58"/>
  <c r="AY34" i="58"/>
  <c r="AY11" i="58" s="1"/>
  <c r="AZ34" i="58"/>
  <c r="BA34" i="58"/>
  <c r="BA11" i="58" s="1"/>
  <c r="BB34" i="58"/>
  <c r="BB11" i="58" s="1"/>
  <c r="BC34" i="58"/>
  <c r="BD34" i="58"/>
  <c r="BE34" i="58"/>
  <c r="BE11" i="58" s="1"/>
  <c r="AP35" i="58"/>
  <c r="AQ35" i="58"/>
  <c r="AR35" i="58"/>
  <c r="AS35" i="58"/>
  <c r="AT35" i="58"/>
  <c r="AU35" i="58"/>
  <c r="AV35" i="58"/>
  <c r="AW35" i="58"/>
  <c r="AX35" i="58"/>
  <c r="AY35" i="58"/>
  <c r="AZ35" i="58"/>
  <c r="BA35" i="58"/>
  <c r="BB35" i="58"/>
  <c r="BC35" i="58"/>
  <c r="BD35" i="58"/>
  <c r="BE35" i="58"/>
  <c r="AP36" i="58"/>
  <c r="AQ36" i="58"/>
  <c r="AR36" i="58"/>
  <c r="AS36" i="58"/>
  <c r="AT36" i="58"/>
  <c r="AU36" i="58"/>
  <c r="AV36" i="58"/>
  <c r="AW36" i="58"/>
  <c r="AX36" i="58"/>
  <c r="AY36" i="58"/>
  <c r="AZ36" i="58"/>
  <c r="BA36" i="58"/>
  <c r="BB36" i="58"/>
  <c r="BC36" i="58"/>
  <c r="BD36" i="58"/>
  <c r="BE36" i="58"/>
  <c r="AP38" i="58"/>
  <c r="AQ38" i="58"/>
  <c r="AR38" i="58"/>
  <c r="AS38" i="58"/>
  <c r="AT38" i="58"/>
  <c r="AU38" i="58"/>
  <c r="AV38" i="58"/>
  <c r="AW38" i="58"/>
  <c r="AX38" i="58"/>
  <c r="AY38" i="58"/>
  <c r="AZ38" i="58"/>
  <c r="BA38" i="58"/>
  <c r="BB38" i="58"/>
  <c r="BC38" i="58"/>
  <c r="BD38" i="58"/>
  <c r="BE38" i="58"/>
  <c r="AP39" i="58"/>
  <c r="AQ39" i="58"/>
  <c r="AR39" i="58"/>
  <c r="AS39" i="58"/>
  <c r="AT39" i="58"/>
  <c r="AU39" i="58"/>
  <c r="AV39" i="58"/>
  <c r="AW39" i="58"/>
  <c r="AX39" i="58"/>
  <c r="AY39" i="58"/>
  <c r="AZ39" i="58"/>
  <c r="BA39" i="58"/>
  <c r="BB39" i="58"/>
  <c r="BC39" i="58"/>
  <c r="BD39" i="58"/>
  <c r="BE39" i="58"/>
  <c r="AP40" i="58"/>
  <c r="AQ40" i="58"/>
  <c r="AR40" i="58"/>
  <c r="AS40" i="58"/>
  <c r="AT40" i="58"/>
  <c r="AU40" i="58"/>
  <c r="AV40" i="58"/>
  <c r="AW40" i="58"/>
  <c r="AX40" i="58"/>
  <c r="AY40" i="58"/>
  <c r="AZ40" i="58"/>
  <c r="BA40" i="58"/>
  <c r="BB40" i="58"/>
  <c r="BC40" i="58"/>
  <c r="BD40" i="58"/>
  <c r="BE40" i="58"/>
  <c r="I22" i="98"/>
  <c r="J22" i="98" s="1"/>
  <c r="K22" i="98" s="1"/>
  <c r="L22" i="98" s="1"/>
  <c r="E27" i="55"/>
  <c r="B27" i="55"/>
  <c r="E27" i="56"/>
  <c r="B27" i="56"/>
  <c r="E29" i="18"/>
  <c r="B29" i="18"/>
  <c r="E27" i="19"/>
  <c r="B27" i="19"/>
  <c r="E27" i="25"/>
  <c r="B27" i="25"/>
  <c r="H8" i="99"/>
  <c r="I8" i="99" s="1"/>
  <c r="H10" i="99"/>
  <c r="I10" i="99" s="1"/>
  <c r="H12" i="99"/>
  <c r="I12" i="99" s="1"/>
  <c r="J12" i="99" s="1"/>
  <c r="K12" i="99" s="1"/>
  <c r="H14" i="99"/>
  <c r="H16" i="99"/>
  <c r="H18" i="99"/>
  <c r="H19" i="99" s="1"/>
  <c r="I20" i="99"/>
  <c r="I23" i="99" s="1"/>
  <c r="I24" i="99"/>
  <c r="H29" i="99"/>
  <c r="H30" i="99" s="1"/>
  <c r="H31" i="99"/>
  <c r="H32" i="99" s="1"/>
  <c r="H33" i="99"/>
  <c r="H35" i="99"/>
  <c r="H37" i="99"/>
  <c r="I37" i="99" s="1"/>
  <c r="I38" i="99" s="1"/>
  <c r="I47" i="99"/>
  <c r="J47" i="99"/>
  <c r="I48" i="99"/>
  <c r="N51" i="99"/>
  <c r="N52" i="99"/>
  <c r="N53" i="99"/>
  <c r="N54" i="99"/>
  <c r="N55" i="99"/>
  <c r="N56" i="99"/>
  <c r="N57" i="99"/>
  <c r="N58" i="99"/>
  <c r="N59" i="99"/>
  <c r="N62" i="99"/>
  <c r="N63" i="99"/>
  <c r="N66" i="99" s="1"/>
  <c r="N120" i="99" s="1"/>
  <c r="N64" i="99"/>
  <c r="N65" i="99"/>
  <c r="N73" i="99"/>
  <c r="N74" i="99"/>
  <c r="N76" i="99" s="1"/>
  <c r="N121" i="99" s="1"/>
  <c r="N75" i="99"/>
  <c r="H23" i="99"/>
  <c r="I26" i="99"/>
  <c r="H27" i="99"/>
  <c r="N78" i="99"/>
  <c r="N79" i="99"/>
  <c r="N80" i="99"/>
  <c r="N81" i="99"/>
  <c r="N94" i="99"/>
  <c r="N95" i="99"/>
  <c r="N96" i="99"/>
  <c r="N97" i="99"/>
  <c r="N98" i="99" s="1"/>
  <c r="H49" i="99"/>
  <c r="H118" i="99" s="1"/>
  <c r="H66" i="99"/>
  <c r="H120" i="99" s="1"/>
  <c r="H76" i="99"/>
  <c r="H121" i="99" s="1"/>
  <c r="H82" i="99"/>
  <c r="H124" i="99" s="1"/>
  <c r="H98" i="99"/>
  <c r="H104" i="99"/>
  <c r="N99" i="99"/>
  <c r="N202" i="99" s="1"/>
  <c r="C196" i="99"/>
  <c r="C195" i="99"/>
  <c r="L66" i="99"/>
  <c r="L120" i="99" s="1"/>
  <c r="L76" i="99"/>
  <c r="L121" i="99" s="1"/>
  <c r="L82" i="99"/>
  <c r="L124" i="99" s="1"/>
  <c r="L98" i="99"/>
  <c r="C194" i="99"/>
  <c r="L190" i="99"/>
  <c r="N190" i="99" s="1"/>
  <c r="F188" i="99"/>
  <c r="C188" i="99"/>
  <c r="C184" i="99"/>
  <c r="C183" i="99"/>
  <c r="K66" i="99"/>
  <c r="K120" i="99" s="1"/>
  <c r="K76" i="99"/>
  <c r="K105" i="99" s="1"/>
  <c r="K82" i="99"/>
  <c r="K98" i="99"/>
  <c r="C182" i="99"/>
  <c r="K178" i="99"/>
  <c r="N178" i="99" s="1"/>
  <c r="F176" i="99"/>
  <c r="C176" i="99"/>
  <c r="C172" i="99"/>
  <c r="C171" i="99"/>
  <c r="J66" i="99"/>
  <c r="J120" i="99" s="1"/>
  <c r="J76" i="99"/>
  <c r="J105" i="99" s="1"/>
  <c r="J82" i="99"/>
  <c r="J107" i="99" s="1"/>
  <c r="J98" i="99"/>
  <c r="C170" i="99"/>
  <c r="J166" i="99"/>
  <c r="F164" i="99"/>
  <c r="C164" i="99"/>
  <c r="C160" i="99"/>
  <c r="C159" i="99"/>
  <c r="I66" i="99"/>
  <c r="I76" i="99"/>
  <c r="I82" i="99"/>
  <c r="I107" i="99" s="1"/>
  <c r="I98" i="99"/>
  <c r="C158" i="99"/>
  <c r="I154" i="99"/>
  <c r="N154" i="99" s="1"/>
  <c r="F152" i="99"/>
  <c r="C152" i="99"/>
  <c r="C146" i="99"/>
  <c r="H142" i="99"/>
  <c r="N142" i="99" s="1"/>
  <c r="F140" i="99"/>
  <c r="C140" i="99"/>
  <c r="M60" i="99"/>
  <c r="M66" i="99"/>
  <c r="M120" i="99" s="1"/>
  <c r="M76" i="99"/>
  <c r="M105" i="99" s="1"/>
  <c r="M82" i="99"/>
  <c r="M98" i="99"/>
  <c r="M127" i="99"/>
  <c r="B114" i="99"/>
  <c r="N106" i="99"/>
  <c r="O106" i="99"/>
  <c r="O103" i="99"/>
  <c r="O62" i="99"/>
  <c r="H6" i="98"/>
  <c r="H7" i="98" s="1"/>
  <c r="H8" i="98"/>
  <c r="I8" i="98" s="1"/>
  <c r="H10" i="98"/>
  <c r="H12" i="98"/>
  <c r="H14" i="98"/>
  <c r="I14" i="98" s="1"/>
  <c r="J14" i="98" s="1"/>
  <c r="H16" i="98"/>
  <c r="H17" i="98" s="1"/>
  <c r="H18" i="98"/>
  <c r="H29" i="98"/>
  <c r="I29" i="98" s="1"/>
  <c r="H31" i="98"/>
  <c r="H33" i="98"/>
  <c r="H34" i="98" s="1"/>
  <c r="H35" i="98"/>
  <c r="H37" i="98"/>
  <c r="H51" i="98"/>
  <c r="H116" i="98" s="1"/>
  <c r="H62" i="98"/>
  <c r="H117" i="98" s="1"/>
  <c r="H68" i="98"/>
  <c r="H73" i="98"/>
  <c r="H78" i="98"/>
  <c r="H119" i="98" s="1"/>
  <c r="H23" i="98"/>
  <c r="H27" i="98"/>
  <c r="H84" i="98"/>
  <c r="H122" i="98" s="1"/>
  <c r="H87" i="98"/>
  <c r="H90" i="98"/>
  <c r="H88" i="98"/>
  <c r="H91" i="98"/>
  <c r="H100" i="98"/>
  <c r="H103" i="98"/>
  <c r="I20" i="98"/>
  <c r="I23" i="98" s="1"/>
  <c r="I24" i="98"/>
  <c r="J24" i="98" s="1"/>
  <c r="K24" i="98" s="1"/>
  <c r="I51" i="98"/>
  <c r="I116" i="98" s="1"/>
  <c r="I62" i="98"/>
  <c r="I117" i="98" s="1"/>
  <c r="I68" i="98"/>
  <c r="I118" i="98" s="1"/>
  <c r="I73" i="98"/>
  <c r="I78" i="98"/>
  <c r="I26" i="98"/>
  <c r="J26" i="98" s="1"/>
  <c r="I84" i="98"/>
  <c r="I122" i="98" s="1"/>
  <c r="I87" i="98"/>
  <c r="I90" i="98"/>
  <c r="I88" i="98"/>
  <c r="I91" i="98"/>
  <c r="I96" i="98"/>
  <c r="I97" i="98"/>
  <c r="J97" i="98" s="1"/>
  <c r="K97" i="98" s="1"/>
  <c r="L97" i="98" s="1"/>
  <c r="M97" i="98" s="1"/>
  <c r="I98" i="98"/>
  <c r="I99" i="98"/>
  <c r="J51" i="98"/>
  <c r="J116" i="98" s="1"/>
  <c r="J62" i="98"/>
  <c r="J117" i="98" s="1"/>
  <c r="J68" i="98"/>
  <c r="J118" i="98" s="1"/>
  <c r="J73" i="98"/>
  <c r="J78" i="98"/>
  <c r="J119" i="98" s="1"/>
  <c r="J84" i="98"/>
  <c r="J122" i="98" s="1"/>
  <c r="J87" i="98"/>
  <c r="J90" i="98"/>
  <c r="J88" i="98"/>
  <c r="J91" i="98"/>
  <c r="K51" i="98"/>
  <c r="K116" i="98" s="1"/>
  <c r="K62" i="98"/>
  <c r="K117" i="98" s="1"/>
  <c r="K68" i="98"/>
  <c r="K118" i="98" s="1"/>
  <c r="K73" i="98"/>
  <c r="K78" i="98"/>
  <c r="K119" i="98" s="1"/>
  <c r="K84" i="98"/>
  <c r="K87" i="98"/>
  <c r="K90" i="98"/>
  <c r="K88" i="98"/>
  <c r="K91" i="98"/>
  <c r="L51" i="98"/>
  <c r="L116" i="98" s="1"/>
  <c r="L62" i="98"/>
  <c r="L117" i="98" s="1"/>
  <c r="L68" i="98"/>
  <c r="L118" i="98" s="1"/>
  <c r="L73" i="98"/>
  <c r="L78" i="98"/>
  <c r="L119" i="98" s="1"/>
  <c r="L84" i="98"/>
  <c r="L122" i="98" s="1"/>
  <c r="L87" i="98"/>
  <c r="L90" i="98"/>
  <c r="L88" i="98"/>
  <c r="L91" i="98"/>
  <c r="L93" i="98" s="1"/>
  <c r="M51" i="98"/>
  <c r="M116" i="98" s="1"/>
  <c r="M62" i="98"/>
  <c r="M117" i="98" s="1"/>
  <c r="M68" i="98"/>
  <c r="M118" i="98" s="1"/>
  <c r="M73" i="98"/>
  <c r="M78" i="98"/>
  <c r="M84" i="98"/>
  <c r="M122" i="98" s="1"/>
  <c r="N47" i="98"/>
  <c r="N48" i="98"/>
  <c r="N49" i="98"/>
  <c r="N50" i="98"/>
  <c r="N53" i="98"/>
  <c r="N54" i="98"/>
  <c r="N55" i="98"/>
  <c r="N56" i="98"/>
  <c r="N57" i="98"/>
  <c r="N58" i="98"/>
  <c r="N59" i="98"/>
  <c r="N60" i="98"/>
  <c r="N61" i="98"/>
  <c r="N64" i="98"/>
  <c r="N65" i="98"/>
  <c r="N66" i="98"/>
  <c r="N67" i="98"/>
  <c r="N70" i="98"/>
  <c r="N71" i="98"/>
  <c r="N72" i="98"/>
  <c r="N75" i="98"/>
  <c r="N76" i="98"/>
  <c r="N77" i="98"/>
  <c r="N80" i="98"/>
  <c r="N81" i="98"/>
  <c r="N82" i="98"/>
  <c r="N83" i="98"/>
  <c r="M87" i="98"/>
  <c r="M90" i="98"/>
  <c r="M88" i="98"/>
  <c r="M91" i="98"/>
  <c r="B112" i="98"/>
  <c r="N105" i="98"/>
  <c r="O102" i="98"/>
  <c r="O99" i="98"/>
  <c r="O61" i="98"/>
  <c r="D44" i="93"/>
  <c r="H43" i="93"/>
  <c r="G43" i="93"/>
  <c r="E43" i="93"/>
  <c r="D43" i="93"/>
  <c r="G42" i="93"/>
  <c r="D42" i="93"/>
  <c r="G41" i="93"/>
  <c r="D41" i="93"/>
  <c r="H40" i="93"/>
  <c r="H39" i="93"/>
  <c r="G39" i="93"/>
  <c r="D39" i="93"/>
  <c r="G38" i="93"/>
  <c r="D38" i="93"/>
  <c r="H31" i="93"/>
  <c r="G31" i="93"/>
  <c r="E31" i="93"/>
  <c r="D31" i="93"/>
  <c r="G30" i="93"/>
  <c r="D30" i="93"/>
  <c r="G29" i="93"/>
  <c r="D29" i="93"/>
  <c r="H28" i="93"/>
  <c r="E28" i="93"/>
  <c r="G27" i="93"/>
  <c r="D27" i="93"/>
  <c r="G26" i="93"/>
  <c r="D26" i="93"/>
  <c r="K25" i="93"/>
  <c r="J25" i="93"/>
  <c r="K24" i="93"/>
  <c r="J23" i="93"/>
  <c r="J22" i="93"/>
  <c r="H22" i="93"/>
  <c r="G22" i="93"/>
  <c r="E22" i="93"/>
  <c r="D22" i="93"/>
  <c r="K21" i="93"/>
  <c r="G21" i="93"/>
  <c r="D21" i="93"/>
  <c r="K20" i="93"/>
  <c r="G20" i="93"/>
  <c r="D20" i="93"/>
  <c r="J19" i="93"/>
  <c r="H19" i="93"/>
  <c r="E19" i="93"/>
  <c r="G18" i="93"/>
  <c r="D18" i="93"/>
  <c r="G17" i="93"/>
  <c r="D17" i="93"/>
  <c r="K14" i="93"/>
  <c r="J14" i="93"/>
  <c r="H13" i="93"/>
  <c r="G13" i="93"/>
  <c r="E13" i="93"/>
  <c r="D13" i="93"/>
  <c r="J12" i="93"/>
  <c r="G12" i="93"/>
  <c r="D12" i="93"/>
  <c r="B12" i="93"/>
  <c r="B23" i="93" s="1"/>
  <c r="J11" i="93"/>
  <c r="G11" i="93"/>
  <c r="D11" i="93"/>
  <c r="B11" i="93"/>
  <c r="E20" i="93"/>
  <c r="K10" i="93"/>
  <c r="H10" i="93"/>
  <c r="E10" i="93"/>
  <c r="B10" i="93"/>
  <c r="E40" i="93" s="1"/>
  <c r="J9" i="93"/>
  <c r="G9" i="93"/>
  <c r="D9" i="93"/>
  <c r="B9" i="93"/>
  <c r="G8" i="93"/>
  <c r="D8" i="93"/>
  <c r="B8" i="93"/>
  <c r="AG88" i="58"/>
  <c r="AG27" i="55" s="1"/>
  <c r="AF27" i="55"/>
  <c r="X28" i="55"/>
  <c r="D6" i="55"/>
  <c r="D17" i="55" s="1"/>
  <c r="Y15" i="55" s="1"/>
  <c r="AQ15" i="55" s="1"/>
  <c r="E6" i="55"/>
  <c r="E17" i="55" s="1"/>
  <c r="Z15" i="55" s="1"/>
  <c r="AR15" i="55" s="1"/>
  <c r="F6" i="55"/>
  <c r="G6" i="55"/>
  <c r="H6" i="55"/>
  <c r="AC6" i="55" s="1"/>
  <c r="AU6" i="55" s="1"/>
  <c r="I6" i="55"/>
  <c r="J6" i="55"/>
  <c r="J17" i="55" s="1"/>
  <c r="K6" i="55"/>
  <c r="L6" i="55"/>
  <c r="M6" i="55"/>
  <c r="M17" i="55" s="1"/>
  <c r="N6" i="55"/>
  <c r="N17" i="55" s="1"/>
  <c r="O6" i="55"/>
  <c r="O17" i="55" s="1"/>
  <c r="P6" i="55"/>
  <c r="P17" i="55" s="1"/>
  <c r="Q6" i="55"/>
  <c r="AL6" i="55" s="1"/>
  <c r="BD6" i="55" s="1"/>
  <c r="R6" i="55"/>
  <c r="C6" i="55"/>
  <c r="X6" i="55" s="1"/>
  <c r="AP6" i="55" s="1"/>
  <c r="D6" i="56"/>
  <c r="E6" i="56"/>
  <c r="E17" i="56" s="1"/>
  <c r="F6" i="56"/>
  <c r="G6" i="56"/>
  <c r="G17" i="56" s="1"/>
  <c r="H6" i="56"/>
  <c r="I6" i="56"/>
  <c r="I17" i="56" s="1"/>
  <c r="AD15" i="56" s="1"/>
  <c r="J6" i="56"/>
  <c r="AE6" i="56" s="1"/>
  <c r="AW6" i="56" s="1"/>
  <c r="K6" i="56"/>
  <c r="L6" i="56"/>
  <c r="M6" i="56"/>
  <c r="AH6" i="56" s="1"/>
  <c r="AZ6" i="56" s="1"/>
  <c r="N6" i="56"/>
  <c r="AI6" i="56" s="1"/>
  <c r="BA6" i="56" s="1"/>
  <c r="O6" i="56"/>
  <c r="P6" i="56"/>
  <c r="AK6" i="56" s="1"/>
  <c r="BC6" i="56" s="1"/>
  <c r="Q6" i="56"/>
  <c r="AL6" i="56" s="1"/>
  <c r="BD6" i="56" s="1"/>
  <c r="R6" i="56"/>
  <c r="C6" i="56"/>
  <c r="X6" i="56" s="1"/>
  <c r="AP6" i="56" s="1"/>
  <c r="D8" i="18"/>
  <c r="Y8" i="18" s="1"/>
  <c r="AQ8" i="18" s="1"/>
  <c r="E8" i="18"/>
  <c r="E19" i="18" s="1"/>
  <c r="Z17" i="18" s="1"/>
  <c r="AR17" i="18" s="1"/>
  <c r="F8" i="18"/>
  <c r="AA8" i="18" s="1"/>
  <c r="AS8" i="18" s="1"/>
  <c r="G8" i="18"/>
  <c r="H8" i="18"/>
  <c r="AC8" i="18"/>
  <c r="AU8" i="18" s="1"/>
  <c r="I8" i="18"/>
  <c r="J8" i="18"/>
  <c r="K8" i="18"/>
  <c r="K19" i="18" s="1"/>
  <c r="K33" i="18" s="1"/>
  <c r="L8" i="18"/>
  <c r="L19" i="18" s="1"/>
  <c r="M8" i="18"/>
  <c r="M19" i="18" s="1"/>
  <c r="N8" i="18"/>
  <c r="N19" i="18" s="1"/>
  <c r="O8" i="18"/>
  <c r="O19" i="18" s="1"/>
  <c r="P8" i="18"/>
  <c r="Q8" i="18"/>
  <c r="Q19" i="18" s="1"/>
  <c r="R8" i="18"/>
  <c r="R19" i="18" s="1"/>
  <c r="R33" i="18" s="1"/>
  <c r="C8" i="18"/>
  <c r="C19" i="18" s="1"/>
  <c r="X17" i="18" s="1"/>
  <c r="AP17" i="18" s="1"/>
  <c r="AB29" i="18"/>
  <c r="D6" i="19"/>
  <c r="Y6" i="19" s="1"/>
  <c r="AQ6" i="19" s="1"/>
  <c r="E6" i="19"/>
  <c r="F6" i="19"/>
  <c r="G6" i="19"/>
  <c r="H6" i="19"/>
  <c r="I6" i="19"/>
  <c r="AD6" i="19" s="1"/>
  <c r="AV6" i="19" s="1"/>
  <c r="J6" i="19"/>
  <c r="K6" i="19"/>
  <c r="K17" i="19" s="1"/>
  <c r="L6" i="19"/>
  <c r="AG6" i="19"/>
  <c r="AY6" i="19" s="1"/>
  <c r="M6" i="19"/>
  <c r="N6" i="19"/>
  <c r="N17" i="19" s="1"/>
  <c r="O6" i="19"/>
  <c r="AJ6" i="19" s="1"/>
  <c r="BB6" i="19" s="1"/>
  <c r="P6" i="19"/>
  <c r="Q6" i="19"/>
  <c r="AL6" i="19" s="1"/>
  <c r="BD6" i="19" s="1"/>
  <c r="R6" i="19"/>
  <c r="R17" i="19" s="1"/>
  <c r="R31" i="19" s="1"/>
  <c r="R41" i="19" s="1"/>
  <c r="C6" i="19"/>
  <c r="D6" i="25"/>
  <c r="E6" i="25"/>
  <c r="F6" i="25"/>
  <c r="F17" i="25" s="1"/>
  <c r="F31" i="25" s="1"/>
  <c r="F41" i="25" s="1"/>
  <c r="AA40" i="25" s="1"/>
  <c r="AS39" i="25" s="1"/>
  <c r="G6" i="25"/>
  <c r="G17" i="25" s="1"/>
  <c r="H6" i="25"/>
  <c r="H17" i="25" s="1"/>
  <c r="I6" i="25"/>
  <c r="AD6" i="25" s="1"/>
  <c r="AV6" i="25" s="1"/>
  <c r="J6" i="25"/>
  <c r="K6" i="25"/>
  <c r="AF6" i="25" s="1"/>
  <c r="AX6" i="25" s="1"/>
  <c r="L6" i="25"/>
  <c r="M6" i="25"/>
  <c r="N6" i="25"/>
  <c r="AI6" i="25" s="1"/>
  <c r="BA6" i="25" s="1"/>
  <c r="O6" i="25"/>
  <c r="P6" i="25"/>
  <c r="Q6" i="25"/>
  <c r="Q17" i="25" s="1"/>
  <c r="R6" i="25"/>
  <c r="AM6" i="25" s="1"/>
  <c r="BE6" i="25" s="1"/>
  <c r="C6" i="25"/>
  <c r="C17" i="25" s="1"/>
  <c r="C31" i="25" s="1"/>
  <c r="X32" i="25" s="1"/>
  <c r="AP32" i="25" s="1"/>
  <c r="AF27" i="56"/>
  <c r="AB27" i="56"/>
  <c r="X28" i="56"/>
  <c r="AF29" i="18"/>
  <c r="X30" i="18"/>
  <c r="AB27" i="19"/>
  <c r="AF27" i="19"/>
  <c r="X28" i="19"/>
  <c r="AF27" i="25"/>
  <c r="AB27" i="25"/>
  <c r="C124" i="58"/>
  <c r="X109" i="58" s="1"/>
  <c r="D113" i="58"/>
  <c r="D124" i="58" s="1"/>
  <c r="Y109" i="58" s="1"/>
  <c r="E113" i="58"/>
  <c r="Z101" i="58" s="1"/>
  <c r="AR100" i="58" s="1"/>
  <c r="F113" i="58"/>
  <c r="F124" i="58" s="1"/>
  <c r="AA109" i="58" s="1"/>
  <c r="G113" i="58"/>
  <c r="H113" i="58"/>
  <c r="AC101" i="58" s="1"/>
  <c r="AU100" i="58" s="1"/>
  <c r="I113" i="58"/>
  <c r="I124" i="58" s="1"/>
  <c r="AD109" i="58" s="1"/>
  <c r="J113" i="58"/>
  <c r="AE101" i="58" s="1"/>
  <c r="AW100" i="58" s="1"/>
  <c r="K113" i="58"/>
  <c r="AF101" i="58" s="1"/>
  <c r="AX100" i="58" s="1"/>
  <c r="L113" i="58"/>
  <c r="M113" i="58"/>
  <c r="AH101" i="58" s="1"/>
  <c r="AZ100" i="58" s="1"/>
  <c r="N113" i="58"/>
  <c r="AI101" i="58" s="1"/>
  <c r="BA100" i="58" s="1"/>
  <c r="O113" i="58"/>
  <c r="O124" i="58" s="1"/>
  <c r="AJ109" i="58" s="1"/>
  <c r="P113" i="58"/>
  <c r="AK101" i="58" s="1"/>
  <c r="BC100" i="58" s="1"/>
  <c r="Q113" i="58"/>
  <c r="Q124" i="58" s="1"/>
  <c r="AL109" i="58" s="1"/>
  <c r="R113" i="58"/>
  <c r="R124" i="58" s="1"/>
  <c r="AM109" i="58" s="1"/>
  <c r="C113" i="58"/>
  <c r="X101" i="58" s="1"/>
  <c r="AP100" i="58" s="1"/>
  <c r="D103" i="58"/>
  <c r="Y93" i="58" s="1"/>
  <c r="AQ93" i="58" s="1"/>
  <c r="E103" i="58"/>
  <c r="Z93" i="58" s="1"/>
  <c r="AR93" i="58" s="1"/>
  <c r="F103" i="58"/>
  <c r="AA93" i="58" s="1"/>
  <c r="AS93" i="58" s="1"/>
  <c r="G103" i="58"/>
  <c r="AB93" i="58" s="1"/>
  <c r="AT93" i="58" s="1"/>
  <c r="H103" i="58"/>
  <c r="AC93" i="58" s="1"/>
  <c r="AU93" i="58" s="1"/>
  <c r="I103" i="58"/>
  <c r="AD93" i="58" s="1"/>
  <c r="AV93" i="58" s="1"/>
  <c r="J103" i="58"/>
  <c r="AE93" i="58" s="1"/>
  <c r="AW93" i="58" s="1"/>
  <c r="K103" i="58"/>
  <c r="AF93" i="58" s="1"/>
  <c r="AX93" i="58" s="1"/>
  <c r="L103" i="58"/>
  <c r="AG93" i="58" s="1"/>
  <c r="AY93" i="58" s="1"/>
  <c r="M103" i="58"/>
  <c r="AH93" i="58" s="1"/>
  <c r="AZ93" i="58" s="1"/>
  <c r="N103" i="58"/>
  <c r="AI93" i="58" s="1"/>
  <c r="BA93" i="58" s="1"/>
  <c r="O103" i="58"/>
  <c r="AJ93" i="58" s="1"/>
  <c r="BB93" i="58" s="1"/>
  <c r="P103" i="58"/>
  <c r="AK93" i="58" s="1"/>
  <c r="BC93" i="58" s="1"/>
  <c r="Q103" i="58"/>
  <c r="AL93" i="58" s="1"/>
  <c r="BD93" i="58" s="1"/>
  <c r="R103" i="58"/>
  <c r="AM93" i="58" s="1"/>
  <c r="BE93" i="58" s="1"/>
  <c r="C103" i="58"/>
  <c r="X93" i="58" s="1"/>
  <c r="AP93" i="58" s="1"/>
  <c r="D89" i="58"/>
  <c r="E89" i="58"/>
  <c r="F89" i="58"/>
  <c r="G89" i="58"/>
  <c r="H89" i="58"/>
  <c r="I89" i="58"/>
  <c r="J89" i="58"/>
  <c r="K89" i="58"/>
  <c r="L89" i="58"/>
  <c r="M89" i="58"/>
  <c r="N89" i="58"/>
  <c r="O89" i="58"/>
  <c r="P89" i="58"/>
  <c r="Q89" i="58"/>
  <c r="R89" i="58"/>
  <c r="C89" i="58"/>
  <c r="D78" i="58"/>
  <c r="E78" i="58"/>
  <c r="F78" i="58"/>
  <c r="G78" i="58"/>
  <c r="H78" i="58"/>
  <c r="I78" i="58"/>
  <c r="J78" i="58"/>
  <c r="K78" i="58"/>
  <c r="L78" i="58"/>
  <c r="M78" i="58"/>
  <c r="N78" i="58"/>
  <c r="O78" i="58"/>
  <c r="P78" i="58"/>
  <c r="Q78" i="58"/>
  <c r="R78" i="58"/>
  <c r="C78" i="58"/>
  <c r="D67" i="58"/>
  <c r="E67" i="58"/>
  <c r="F67" i="58"/>
  <c r="G67" i="58"/>
  <c r="H67" i="58"/>
  <c r="I67" i="58"/>
  <c r="J67" i="58"/>
  <c r="K67" i="58"/>
  <c r="L67" i="58"/>
  <c r="M67" i="58"/>
  <c r="N67" i="58"/>
  <c r="O67" i="58"/>
  <c r="P67" i="58"/>
  <c r="Q67" i="58"/>
  <c r="R67" i="58"/>
  <c r="C67" i="58"/>
  <c r="D56" i="58"/>
  <c r="E56" i="58"/>
  <c r="F56" i="58"/>
  <c r="G56" i="58"/>
  <c r="H56" i="58"/>
  <c r="I56" i="58"/>
  <c r="J56" i="58"/>
  <c r="K56" i="58"/>
  <c r="L56" i="58"/>
  <c r="M56" i="58"/>
  <c r="N56" i="58"/>
  <c r="O56" i="58"/>
  <c r="P56" i="58"/>
  <c r="Q56" i="58"/>
  <c r="R56" i="58"/>
  <c r="C56" i="58"/>
  <c r="D45" i="58"/>
  <c r="Y33" i="58" s="1"/>
  <c r="AQ32" i="58" s="1"/>
  <c r="E45" i="58"/>
  <c r="Z33" i="58" s="1"/>
  <c r="AR32" i="58" s="1"/>
  <c r="F45" i="58"/>
  <c r="AA33" i="58" s="1"/>
  <c r="AS32" i="58" s="1"/>
  <c r="G45" i="58"/>
  <c r="AB33" i="58" s="1"/>
  <c r="AT32" i="58" s="1"/>
  <c r="H45" i="58"/>
  <c r="AC33" i="58" s="1"/>
  <c r="AU32" i="58" s="1"/>
  <c r="I45" i="58"/>
  <c r="AD33" i="58" s="1"/>
  <c r="AV32" i="58" s="1"/>
  <c r="J45" i="58"/>
  <c r="AE33" i="58" s="1"/>
  <c r="AW32" i="58" s="1"/>
  <c r="K45" i="58"/>
  <c r="AF33" i="58" s="1"/>
  <c r="AX32" i="58" s="1"/>
  <c r="L45" i="58"/>
  <c r="AG33" i="58" s="1"/>
  <c r="AY32" i="58" s="1"/>
  <c r="M45" i="58"/>
  <c r="AH33" i="58" s="1"/>
  <c r="AZ32" i="58" s="1"/>
  <c r="N45" i="58"/>
  <c r="AI33" i="58" s="1"/>
  <c r="BA32" i="58" s="1"/>
  <c r="O45" i="58"/>
  <c r="AJ33" i="58" s="1"/>
  <c r="BB32" i="58" s="1"/>
  <c r="P45" i="58"/>
  <c r="AK33" i="58" s="1"/>
  <c r="BC32" i="58" s="1"/>
  <c r="Q45" i="58"/>
  <c r="AL33" i="58" s="1"/>
  <c r="BD32" i="58" s="1"/>
  <c r="R45" i="58"/>
  <c r="AM33" i="58" s="1"/>
  <c r="BE32" i="58" s="1"/>
  <c r="C45" i="58"/>
  <c r="X33" i="58" s="1"/>
  <c r="AP32" i="58" s="1"/>
  <c r="M29" i="74"/>
  <c r="K29" i="74"/>
  <c r="I29" i="74"/>
  <c r="D29" i="74"/>
  <c r="B29" i="74"/>
  <c r="B21" i="74"/>
  <c r="I19" i="74"/>
  <c r="D19" i="74"/>
  <c r="B19" i="74"/>
  <c r="K18" i="74"/>
  <c r="D18" i="74"/>
  <c r="D10" i="74"/>
  <c r="D9" i="74"/>
  <c r="D6" i="74"/>
  <c r="J6" i="74" s="1"/>
  <c r="F5" i="74"/>
  <c r="D5" i="74"/>
  <c r="B5" i="74"/>
  <c r="I5" i="74" s="1"/>
  <c r="B8" i="70"/>
  <c r="D8" i="70"/>
  <c r="G8" i="70"/>
  <c r="B9" i="70"/>
  <c r="E18" i="70"/>
  <c r="D9" i="70"/>
  <c r="G9" i="70"/>
  <c r="J9" i="70"/>
  <c r="B10" i="70"/>
  <c r="E40" i="70" s="1"/>
  <c r="E10" i="70"/>
  <c r="H10" i="70"/>
  <c r="K10" i="70"/>
  <c r="B11" i="70"/>
  <c r="D11" i="70"/>
  <c r="G11" i="70"/>
  <c r="J11" i="70"/>
  <c r="B12" i="70"/>
  <c r="D12" i="70"/>
  <c r="G12" i="70"/>
  <c r="J12" i="70"/>
  <c r="D13" i="70"/>
  <c r="E13" i="70"/>
  <c r="G13" i="70"/>
  <c r="H13" i="70"/>
  <c r="J14" i="70"/>
  <c r="K14" i="70"/>
  <c r="D17" i="70"/>
  <c r="G17" i="70"/>
  <c r="D18" i="70"/>
  <c r="G18" i="70"/>
  <c r="E19" i="70"/>
  <c r="H19" i="70"/>
  <c r="J19" i="70"/>
  <c r="D20" i="70"/>
  <c r="G20" i="70"/>
  <c r="K20" i="70"/>
  <c r="D21" i="70"/>
  <c r="G21" i="70"/>
  <c r="K21" i="70"/>
  <c r="D22" i="70"/>
  <c r="E22" i="70"/>
  <c r="G22" i="70"/>
  <c r="H22" i="70"/>
  <c r="J22" i="70"/>
  <c r="J23" i="70"/>
  <c r="K24" i="70"/>
  <c r="J25" i="70"/>
  <c r="K25" i="70"/>
  <c r="D26" i="70"/>
  <c r="G26" i="70"/>
  <c r="D27" i="70"/>
  <c r="G27" i="70"/>
  <c r="E28" i="70"/>
  <c r="H28" i="70"/>
  <c r="D29" i="70"/>
  <c r="G29" i="70"/>
  <c r="D30" i="70"/>
  <c r="G30" i="70"/>
  <c r="D31" i="70"/>
  <c r="E31" i="70"/>
  <c r="G31" i="70"/>
  <c r="H31" i="70"/>
  <c r="D38" i="70"/>
  <c r="G38" i="70"/>
  <c r="D39" i="70"/>
  <c r="G39" i="70"/>
  <c r="H39" i="70"/>
  <c r="H40" i="70"/>
  <c r="D41" i="70"/>
  <c r="G41" i="70"/>
  <c r="D42" i="70"/>
  <c r="G42" i="70"/>
  <c r="D43" i="70"/>
  <c r="E43" i="70"/>
  <c r="G43" i="70"/>
  <c r="H43" i="70"/>
  <c r="D44" i="70"/>
  <c r="AO11" i="58"/>
  <c r="X12" i="58"/>
  <c r="X22" i="58" s="1"/>
  <c r="AP21" i="58" s="1"/>
  <c r="Y12" i="58"/>
  <c r="AQ12" i="58" s="1"/>
  <c r="Z12" i="58"/>
  <c r="AA12" i="58"/>
  <c r="AS12" i="58" s="1"/>
  <c r="AB12" i="58"/>
  <c r="AC12" i="58"/>
  <c r="AD12" i="58"/>
  <c r="AE12" i="58"/>
  <c r="AE22" i="58" s="1"/>
  <c r="AW21" i="58" s="1"/>
  <c r="AF12" i="58"/>
  <c r="AX12" i="58" s="1"/>
  <c r="AG12" i="58"/>
  <c r="AY12" i="58" s="1"/>
  <c r="AH12" i="58"/>
  <c r="AI12" i="58"/>
  <c r="AJ12" i="58"/>
  <c r="AJ22" i="58" s="1"/>
  <c r="BB21" i="58" s="1"/>
  <c r="AK12" i="58"/>
  <c r="BC12" i="58" s="1"/>
  <c r="AL12" i="58"/>
  <c r="BD12" i="58" s="1"/>
  <c r="AM12" i="58"/>
  <c r="BI13" i="58"/>
  <c r="BJ13" i="58"/>
  <c r="BK13" i="58"/>
  <c r="BL13" i="58"/>
  <c r="BM13" i="58"/>
  <c r="BN13" i="58"/>
  <c r="BO13" i="58"/>
  <c r="BP13" i="58"/>
  <c r="BQ13" i="58"/>
  <c r="BR13" i="58"/>
  <c r="BS13" i="58"/>
  <c r="BT13" i="58"/>
  <c r="BU13" i="58"/>
  <c r="BV13" i="58"/>
  <c r="BW13" i="58"/>
  <c r="BX13" i="58"/>
  <c r="AO20" i="58"/>
  <c r="X102" i="58"/>
  <c r="X110" i="58" s="1"/>
  <c r="Y102" i="58"/>
  <c r="Y110" i="58" s="1"/>
  <c r="Z102" i="58"/>
  <c r="Z110" i="58" s="1"/>
  <c r="AA102" i="58"/>
  <c r="AA110" i="58" s="1"/>
  <c r="AB102" i="58"/>
  <c r="AB110" i="58" s="1"/>
  <c r="AC102" i="58"/>
  <c r="AC110" i="58" s="1"/>
  <c r="AD102" i="58"/>
  <c r="AD110" i="58" s="1"/>
  <c r="AE102" i="58"/>
  <c r="AE110" i="58" s="1"/>
  <c r="AF102" i="58"/>
  <c r="AF110" i="58" s="1"/>
  <c r="AG102" i="58"/>
  <c r="AG110" i="58" s="1"/>
  <c r="AH102" i="58"/>
  <c r="AH110" i="58" s="1"/>
  <c r="AI102" i="58"/>
  <c r="AI110" i="58" s="1"/>
  <c r="AP102" i="58"/>
  <c r="AQ102" i="58"/>
  <c r="AR102" i="58"/>
  <c r="AS102" i="58"/>
  <c r="AT102" i="58"/>
  <c r="AU102" i="58"/>
  <c r="AV102" i="58"/>
  <c r="AW102" i="58"/>
  <c r="AX102" i="58"/>
  <c r="AY102" i="58"/>
  <c r="AZ102" i="58"/>
  <c r="BA102" i="58"/>
  <c r="BB102" i="58"/>
  <c r="BC102" i="58"/>
  <c r="BD102" i="58"/>
  <c r="BE102" i="58"/>
  <c r="X103" i="58"/>
  <c r="X111" i="58" s="1"/>
  <c r="Y103" i="58"/>
  <c r="Y111" i="58" s="1"/>
  <c r="Z103" i="58"/>
  <c r="Z111" i="58" s="1"/>
  <c r="AA103" i="58"/>
  <c r="AA111" i="58" s="1"/>
  <c r="AB103" i="58"/>
  <c r="AB111" i="58" s="1"/>
  <c r="AC103" i="58"/>
  <c r="AC111" i="58" s="1"/>
  <c r="AD103" i="58"/>
  <c r="AD111" i="58" s="1"/>
  <c r="AE103" i="58"/>
  <c r="AF103" i="58"/>
  <c r="AF111" i="58" s="1"/>
  <c r="AG103" i="58"/>
  <c r="AG111" i="58" s="1"/>
  <c r="AH103" i="58"/>
  <c r="AH111" i="58" s="1"/>
  <c r="AI103" i="58"/>
  <c r="AI111" i="58" s="1"/>
  <c r="AP103" i="58"/>
  <c r="AQ103" i="58"/>
  <c r="AR103" i="58"/>
  <c r="AS103" i="58"/>
  <c r="AT103" i="58"/>
  <c r="AU103" i="58"/>
  <c r="AV103" i="58"/>
  <c r="AW103" i="58"/>
  <c r="AX103" i="58"/>
  <c r="AY103" i="58"/>
  <c r="AZ103" i="58"/>
  <c r="BA103" i="58"/>
  <c r="BB103" i="58"/>
  <c r="BC103" i="58"/>
  <c r="BD103" i="58"/>
  <c r="BE103" i="58"/>
  <c r="X104" i="58"/>
  <c r="X112" i="58" s="1"/>
  <c r="Y104" i="58"/>
  <c r="Y112" i="58" s="1"/>
  <c r="Z104" i="58"/>
  <c r="Z112" i="58" s="1"/>
  <c r="AA104" i="58"/>
  <c r="AA112" i="58" s="1"/>
  <c r="AB104" i="58"/>
  <c r="AB112" i="58" s="1"/>
  <c r="AC104" i="58"/>
  <c r="AC112" i="58" s="1"/>
  <c r="AD104" i="58"/>
  <c r="AD112" i="58" s="1"/>
  <c r="AE104" i="58"/>
  <c r="AE112" i="58" s="1"/>
  <c r="AF104" i="58"/>
  <c r="AF112" i="58" s="1"/>
  <c r="AG104" i="58"/>
  <c r="AG112" i="58" s="1"/>
  <c r="AH104" i="58"/>
  <c r="AH112" i="58" s="1"/>
  <c r="AI104" i="58"/>
  <c r="AI112" i="58"/>
  <c r="X105" i="58"/>
  <c r="X113" i="58" s="1"/>
  <c r="Y105" i="58"/>
  <c r="Y113" i="58" s="1"/>
  <c r="Z105" i="58"/>
  <c r="Z113" i="58" s="1"/>
  <c r="AA105" i="58"/>
  <c r="AB105" i="58"/>
  <c r="AB113" i="58" s="1"/>
  <c r="AC105" i="58"/>
  <c r="AC113" i="58" s="1"/>
  <c r="AD105" i="58"/>
  <c r="AD113" i="58" s="1"/>
  <c r="AE105" i="58"/>
  <c r="AE113" i="58" s="1"/>
  <c r="AF105" i="58"/>
  <c r="AF113" i="58" s="1"/>
  <c r="AG105" i="58"/>
  <c r="AG113" i="58" s="1"/>
  <c r="AH105" i="58"/>
  <c r="AH113" i="58"/>
  <c r="AI105" i="58"/>
  <c r="AJ110" i="58"/>
  <c r="AK110" i="58"/>
  <c r="AL110" i="58"/>
  <c r="AM110" i="58"/>
  <c r="AJ111" i="58"/>
  <c r="AK111" i="58"/>
  <c r="AL111" i="58"/>
  <c r="AM111" i="58"/>
  <c r="AJ112" i="58"/>
  <c r="AK112" i="58"/>
  <c r="AL112" i="58"/>
  <c r="AM112" i="58"/>
  <c r="AJ113" i="58"/>
  <c r="AK113" i="58"/>
  <c r="AL113" i="58"/>
  <c r="AM113" i="58"/>
  <c r="AM52" i="56"/>
  <c r="AL52" i="56"/>
  <c r="AK52" i="56"/>
  <c r="AJ52" i="56"/>
  <c r="AM51" i="56"/>
  <c r="AL51" i="56"/>
  <c r="AK51" i="56"/>
  <c r="AJ51" i="56"/>
  <c r="AM50" i="56"/>
  <c r="AL50" i="56"/>
  <c r="AK50" i="56"/>
  <c r="AJ50" i="56"/>
  <c r="AM49" i="56"/>
  <c r="AL49" i="56"/>
  <c r="AK49" i="56"/>
  <c r="AJ49" i="56"/>
  <c r="AI44" i="56"/>
  <c r="AI52" i="56" s="1"/>
  <c r="AH44" i="56"/>
  <c r="AH52" i="56" s="1"/>
  <c r="AG44" i="56"/>
  <c r="AG52" i="56" s="1"/>
  <c r="AF44" i="56"/>
  <c r="AF52" i="56" s="1"/>
  <c r="AE44" i="56"/>
  <c r="AE52" i="56" s="1"/>
  <c r="AD44" i="56"/>
  <c r="AD52" i="56" s="1"/>
  <c r="AC44" i="56"/>
  <c r="AC52" i="56"/>
  <c r="AB44" i="56"/>
  <c r="AB52" i="56" s="1"/>
  <c r="AA44" i="56"/>
  <c r="AA52" i="56" s="1"/>
  <c r="Z44" i="56"/>
  <c r="Z52" i="56" s="1"/>
  <c r="Y44" i="56"/>
  <c r="Y52" i="56" s="1"/>
  <c r="X44" i="56"/>
  <c r="X52" i="56" s="1"/>
  <c r="AI43" i="56"/>
  <c r="AI51" i="56" s="1"/>
  <c r="AH43" i="56"/>
  <c r="AH51" i="56" s="1"/>
  <c r="AG43" i="56"/>
  <c r="AG51" i="56" s="1"/>
  <c r="AF43" i="56"/>
  <c r="AF51" i="56" s="1"/>
  <c r="AE43" i="56"/>
  <c r="AE51" i="56" s="1"/>
  <c r="AD43" i="56"/>
  <c r="AD51" i="56" s="1"/>
  <c r="AC43" i="56"/>
  <c r="AC51" i="56" s="1"/>
  <c r="AB43" i="56"/>
  <c r="AB51" i="56" s="1"/>
  <c r="AA43" i="56"/>
  <c r="AA51" i="56" s="1"/>
  <c r="Z43" i="56"/>
  <c r="Z51" i="56" s="1"/>
  <c r="Y43" i="56"/>
  <c r="Y51" i="56" s="1"/>
  <c r="X43" i="56"/>
  <c r="X51" i="56" s="1"/>
  <c r="BE42" i="56"/>
  <c r="BD42" i="56"/>
  <c r="BC42" i="56"/>
  <c r="BB42" i="56"/>
  <c r="BA42" i="56"/>
  <c r="AZ42" i="56"/>
  <c r="AY42" i="56"/>
  <c r="AX42" i="56"/>
  <c r="AW42" i="56"/>
  <c r="AU42" i="56"/>
  <c r="AT42" i="56"/>
  <c r="AS42" i="56"/>
  <c r="AR42" i="56"/>
  <c r="AQ42" i="56"/>
  <c r="AP42" i="56"/>
  <c r="AI42" i="56"/>
  <c r="AI50" i="56" s="1"/>
  <c r="AH42" i="56"/>
  <c r="AH50" i="56"/>
  <c r="AG42" i="56"/>
  <c r="AG50" i="56" s="1"/>
  <c r="AF42" i="56"/>
  <c r="AE42" i="56"/>
  <c r="AE50" i="56" s="1"/>
  <c r="AD42" i="56"/>
  <c r="AD50" i="56" s="1"/>
  <c r="AC42" i="56"/>
  <c r="AC50" i="56" s="1"/>
  <c r="AB42" i="56"/>
  <c r="AB50" i="56" s="1"/>
  <c r="AA42" i="56"/>
  <c r="AA50" i="56" s="1"/>
  <c r="Z42" i="56"/>
  <c r="Z50" i="56" s="1"/>
  <c r="Y42" i="56"/>
  <c r="Y50" i="56" s="1"/>
  <c r="X42" i="56"/>
  <c r="X50" i="56" s="1"/>
  <c r="BE41" i="56"/>
  <c r="BD41" i="56"/>
  <c r="BC41" i="56"/>
  <c r="BB41" i="56"/>
  <c r="BA41" i="56"/>
  <c r="AZ41" i="56"/>
  <c r="AY41" i="56"/>
  <c r="AX41" i="56"/>
  <c r="AW41" i="56"/>
  <c r="AU41" i="56"/>
  <c r="AT41" i="56"/>
  <c r="AS41" i="56"/>
  <c r="AR41" i="56"/>
  <c r="AQ41" i="56"/>
  <c r="AP41" i="56"/>
  <c r="AI41" i="56"/>
  <c r="AI49" i="56" s="1"/>
  <c r="AH41" i="56"/>
  <c r="AH49" i="56" s="1"/>
  <c r="AG41" i="56"/>
  <c r="AG49" i="56" s="1"/>
  <c r="AF41" i="56"/>
  <c r="AF49" i="56" s="1"/>
  <c r="AE41" i="56"/>
  <c r="AE49" i="56"/>
  <c r="AD41" i="56"/>
  <c r="AD49" i="56" s="1"/>
  <c r="AC41" i="56"/>
  <c r="AC49" i="56" s="1"/>
  <c r="AB41" i="56"/>
  <c r="AB49" i="56" s="1"/>
  <c r="AA41" i="56"/>
  <c r="AA49" i="56" s="1"/>
  <c r="Z41" i="56"/>
  <c r="Z49" i="56" s="1"/>
  <c r="Y41" i="56"/>
  <c r="Y49" i="56" s="1"/>
  <c r="X41" i="56"/>
  <c r="X49" i="56" s="1"/>
  <c r="BE23" i="56"/>
  <c r="BD23" i="56"/>
  <c r="BC23" i="56"/>
  <c r="BB23" i="56"/>
  <c r="BA23" i="56"/>
  <c r="AZ23" i="56"/>
  <c r="AY23" i="56"/>
  <c r="AX23" i="56"/>
  <c r="AW23" i="56"/>
  <c r="AU23" i="56"/>
  <c r="AT23" i="56"/>
  <c r="AS23" i="56"/>
  <c r="AR23" i="56"/>
  <c r="AQ23" i="56"/>
  <c r="AP23" i="56"/>
  <c r="BE22" i="56"/>
  <c r="BD22" i="56"/>
  <c r="BC22" i="56"/>
  <c r="BB22" i="56"/>
  <c r="BA22" i="56"/>
  <c r="AZ22" i="56"/>
  <c r="AY22" i="56"/>
  <c r="AX22" i="56"/>
  <c r="AW22" i="56"/>
  <c r="AU22" i="56"/>
  <c r="AT22" i="56"/>
  <c r="AS22" i="56"/>
  <c r="AR22" i="56"/>
  <c r="AQ22" i="56"/>
  <c r="AP22" i="56"/>
  <c r="BE21" i="56"/>
  <c r="BD21" i="56"/>
  <c r="BC21" i="56"/>
  <c r="BB21" i="56"/>
  <c r="BA21" i="56"/>
  <c r="AZ21" i="56"/>
  <c r="AY21" i="56"/>
  <c r="AX21" i="56"/>
  <c r="AW21" i="56"/>
  <c r="AU21" i="56"/>
  <c r="AT21" i="56"/>
  <c r="AS21" i="56"/>
  <c r="AR21" i="56"/>
  <c r="AQ21" i="56"/>
  <c r="AP21" i="56"/>
  <c r="BE19" i="56"/>
  <c r="BD19" i="56"/>
  <c r="BC19" i="56"/>
  <c r="BB19" i="56"/>
  <c r="BA19" i="56"/>
  <c r="AZ19" i="56"/>
  <c r="AY19" i="56"/>
  <c r="AX19" i="56"/>
  <c r="AW19" i="56"/>
  <c r="AU19" i="56"/>
  <c r="AT19" i="56"/>
  <c r="AS19" i="56"/>
  <c r="AR19" i="56"/>
  <c r="AQ19" i="56"/>
  <c r="AP19" i="56"/>
  <c r="BE18" i="56"/>
  <c r="BD18" i="56"/>
  <c r="BC18" i="56"/>
  <c r="BB18" i="56"/>
  <c r="BA18" i="56"/>
  <c r="AZ18" i="56"/>
  <c r="AY18" i="56"/>
  <c r="AX18" i="56"/>
  <c r="AW18" i="56"/>
  <c r="AU18" i="56"/>
  <c r="AT18" i="56"/>
  <c r="AS18" i="56"/>
  <c r="AR18" i="56"/>
  <c r="AQ18" i="56"/>
  <c r="AP18" i="56"/>
  <c r="BE17" i="56"/>
  <c r="BE5" i="56"/>
  <c r="BD17" i="56"/>
  <c r="BD5" i="56" s="1"/>
  <c r="BC17" i="56"/>
  <c r="BC5" i="56" s="1"/>
  <c r="BB17" i="56"/>
  <c r="BB5" i="56" s="1"/>
  <c r="BA17" i="56"/>
  <c r="BA5" i="56" s="1"/>
  <c r="AZ17" i="56"/>
  <c r="AZ5" i="56" s="1"/>
  <c r="AY17" i="56"/>
  <c r="AY5" i="56" s="1"/>
  <c r="AX17" i="56"/>
  <c r="AX5" i="56" s="1"/>
  <c r="AW17" i="56"/>
  <c r="AW5" i="56" s="1"/>
  <c r="AU17" i="56"/>
  <c r="AU5" i="56" s="1"/>
  <c r="AT17" i="56"/>
  <c r="AT5" i="56" s="1"/>
  <c r="AS17" i="56"/>
  <c r="AS5" i="56" s="1"/>
  <c r="AR17" i="56"/>
  <c r="AR5" i="56" s="1"/>
  <c r="AQ17" i="56"/>
  <c r="AQ5" i="56" s="1"/>
  <c r="AP17" i="56"/>
  <c r="AP5" i="56" s="1"/>
  <c r="AO14" i="56"/>
  <c r="BX7" i="56"/>
  <c r="BW7" i="56"/>
  <c r="BV7" i="56"/>
  <c r="BU7" i="56"/>
  <c r="BT7" i="56"/>
  <c r="BS7" i="56"/>
  <c r="BR7" i="56"/>
  <c r="BQ7" i="56"/>
  <c r="BP7" i="56"/>
  <c r="BO7" i="56"/>
  <c r="BN7" i="56"/>
  <c r="BM7" i="56"/>
  <c r="BL7" i="56"/>
  <c r="BK7" i="56"/>
  <c r="BJ7" i="56"/>
  <c r="BI7" i="56"/>
  <c r="AV1" i="56"/>
  <c r="AO5" i="56"/>
  <c r="D11" i="24"/>
  <c r="E11" i="24" s="1"/>
  <c r="AC27" i="55"/>
  <c r="AM52" i="55"/>
  <c r="AL52" i="55"/>
  <c r="AK52" i="55"/>
  <c r="AJ52" i="55"/>
  <c r="AM51" i="55"/>
  <c r="AL51" i="55"/>
  <c r="AK51" i="55"/>
  <c r="AJ51" i="55"/>
  <c r="AM50" i="55"/>
  <c r="AL50" i="55"/>
  <c r="AK50" i="55"/>
  <c r="AJ50" i="55"/>
  <c r="AM49" i="55"/>
  <c r="AL49" i="55"/>
  <c r="AK49" i="55"/>
  <c r="AJ49" i="55"/>
  <c r="AI44" i="55"/>
  <c r="AI52" i="55" s="1"/>
  <c r="AH44" i="55"/>
  <c r="AH52" i="55" s="1"/>
  <c r="AG44" i="55"/>
  <c r="AG52" i="55" s="1"/>
  <c r="AF44" i="55"/>
  <c r="AF52" i="55" s="1"/>
  <c r="AE44" i="55"/>
  <c r="AE52" i="55" s="1"/>
  <c r="AD44" i="55"/>
  <c r="AD52" i="55" s="1"/>
  <c r="AC44" i="55"/>
  <c r="AC52" i="55" s="1"/>
  <c r="AB44" i="55"/>
  <c r="AB52" i="55" s="1"/>
  <c r="AA44" i="55"/>
  <c r="AA52" i="55" s="1"/>
  <c r="Z44" i="55"/>
  <c r="Y44" i="55"/>
  <c r="X44" i="55"/>
  <c r="X52" i="55" s="1"/>
  <c r="AI43" i="55"/>
  <c r="AI51" i="55" s="1"/>
  <c r="AH43" i="55"/>
  <c r="AH51" i="55"/>
  <c r="AG43" i="55"/>
  <c r="AG51" i="55" s="1"/>
  <c r="AF43" i="55"/>
  <c r="AF51" i="55" s="1"/>
  <c r="AE43" i="55"/>
  <c r="AE51" i="55" s="1"/>
  <c r="AD43" i="55"/>
  <c r="AD51" i="55" s="1"/>
  <c r="AC43" i="55"/>
  <c r="AC51" i="55" s="1"/>
  <c r="AB43" i="55"/>
  <c r="AB51" i="55" s="1"/>
  <c r="AA43" i="55"/>
  <c r="AA51" i="55" s="1"/>
  <c r="Z43" i="55"/>
  <c r="Z51" i="55" s="1"/>
  <c r="Y43" i="55"/>
  <c r="X43" i="55"/>
  <c r="X51" i="55" s="1"/>
  <c r="BE42" i="55"/>
  <c r="BD42" i="55"/>
  <c r="BC42" i="55"/>
  <c r="BB42" i="55"/>
  <c r="BA42" i="55"/>
  <c r="AZ42" i="55"/>
  <c r="AY42" i="55"/>
  <c r="AX42" i="55"/>
  <c r="AW42" i="55"/>
  <c r="AV42" i="55"/>
  <c r="AU42" i="55"/>
  <c r="AT42" i="55"/>
  <c r="AS42" i="55"/>
  <c r="AR42" i="55"/>
  <c r="AQ42" i="55"/>
  <c r="AP42" i="55"/>
  <c r="AI42" i="55"/>
  <c r="AI50" i="55" s="1"/>
  <c r="AH42" i="55"/>
  <c r="AH50" i="55" s="1"/>
  <c r="AG42" i="55"/>
  <c r="AG50" i="55" s="1"/>
  <c r="AF42" i="55"/>
  <c r="AF50" i="55" s="1"/>
  <c r="AE42" i="55"/>
  <c r="AE50" i="55" s="1"/>
  <c r="AD42" i="55"/>
  <c r="AD50" i="55" s="1"/>
  <c r="AC42" i="55"/>
  <c r="AC50" i="55" s="1"/>
  <c r="AB42" i="55"/>
  <c r="AB50" i="55" s="1"/>
  <c r="AA42" i="55"/>
  <c r="AA50" i="55" s="1"/>
  <c r="Z42" i="55"/>
  <c r="Z50" i="55" s="1"/>
  <c r="Y42" i="55"/>
  <c r="Y50" i="55" s="1"/>
  <c r="X42" i="55"/>
  <c r="X50" i="55" s="1"/>
  <c r="BE41" i="55"/>
  <c r="BD41" i="55"/>
  <c r="BC41" i="55"/>
  <c r="BB41" i="55"/>
  <c r="BA41" i="55"/>
  <c r="AZ41" i="55"/>
  <c r="AY41" i="55"/>
  <c r="AX41" i="55"/>
  <c r="AW41" i="55"/>
  <c r="AV41" i="55"/>
  <c r="AU41" i="55"/>
  <c r="AT41" i="55"/>
  <c r="AS41" i="55"/>
  <c r="AR41" i="55"/>
  <c r="AQ41" i="55"/>
  <c r="AP41" i="55"/>
  <c r="AI41" i="55"/>
  <c r="AH41" i="55"/>
  <c r="AH49" i="55" s="1"/>
  <c r="AG41" i="55"/>
  <c r="AG49" i="55" s="1"/>
  <c r="AF41" i="55"/>
  <c r="AF49" i="55"/>
  <c r="AE41" i="55"/>
  <c r="AE49" i="55" s="1"/>
  <c r="AD41" i="55"/>
  <c r="AD49" i="55" s="1"/>
  <c r="AC41" i="55"/>
  <c r="AC49" i="55" s="1"/>
  <c r="AB41" i="55"/>
  <c r="AB49" i="55" s="1"/>
  <c r="AA41" i="55"/>
  <c r="AA49" i="55" s="1"/>
  <c r="Z41" i="55"/>
  <c r="Z49" i="55" s="1"/>
  <c r="Y41" i="55"/>
  <c r="Y49" i="55" s="1"/>
  <c r="X41" i="55"/>
  <c r="X49" i="55" s="1"/>
  <c r="BE23" i="55"/>
  <c r="BD23" i="55"/>
  <c r="BC23" i="55"/>
  <c r="BB23" i="55"/>
  <c r="BA23" i="55"/>
  <c r="AZ23" i="55"/>
  <c r="AY23" i="55"/>
  <c r="AX23" i="55"/>
  <c r="AW23" i="55"/>
  <c r="AV23" i="55"/>
  <c r="AU23" i="55"/>
  <c r="AT23" i="55"/>
  <c r="AS23" i="55"/>
  <c r="AR23" i="55"/>
  <c r="AQ23" i="55"/>
  <c r="AP23" i="55"/>
  <c r="BE22" i="55"/>
  <c r="BD22" i="55"/>
  <c r="BC22" i="55"/>
  <c r="BB22" i="55"/>
  <c r="BA22" i="55"/>
  <c r="AZ22" i="55"/>
  <c r="AY22" i="55"/>
  <c r="AX22" i="55"/>
  <c r="AW22" i="55"/>
  <c r="AV22" i="55"/>
  <c r="AU22" i="55"/>
  <c r="AT22" i="55"/>
  <c r="AS22" i="55"/>
  <c r="AR22" i="55"/>
  <c r="AQ22" i="55"/>
  <c r="AP22" i="55"/>
  <c r="BE21" i="55"/>
  <c r="BD21" i="55"/>
  <c r="BC21" i="55"/>
  <c r="BB21" i="55"/>
  <c r="BA21" i="55"/>
  <c r="AZ21" i="55"/>
  <c r="AY21" i="55"/>
  <c r="AX21" i="55"/>
  <c r="AW21" i="55"/>
  <c r="AV21" i="55"/>
  <c r="AU21" i="55"/>
  <c r="AT21" i="55"/>
  <c r="AS21" i="55"/>
  <c r="AR21" i="55"/>
  <c r="AQ21" i="55"/>
  <c r="AP21" i="55"/>
  <c r="BE19" i="55"/>
  <c r="BD19" i="55"/>
  <c r="BC19" i="55"/>
  <c r="BB19" i="55"/>
  <c r="BA19" i="55"/>
  <c r="AZ19" i="55"/>
  <c r="AY19" i="55"/>
  <c r="AX19" i="55"/>
  <c r="AW19" i="55"/>
  <c r="AV19" i="55"/>
  <c r="AU19" i="55"/>
  <c r="AT19" i="55"/>
  <c r="AS19" i="55"/>
  <c r="AR19" i="55"/>
  <c r="AQ19" i="55"/>
  <c r="AP19" i="55"/>
  <c r="BE18" i="55"/>
  <c r="BD18" i="55"/>
  <c r="BC18" i="55"/>
  <c r="BB18" i="55"/>
  <c r="BA18" i="55"/>
  <c r="AZ18" i="55"/>
  <c r="AY18" i="55"/>
  <c r="AX18" i="55"/>
  <c r="AW18" i="55"/>
  <c r="AV18" i="55"/>
  <c r="AU18" i="55"/>
  <c r="AT18" i="55"/>
  <c r="AS18" i="55"/>
  <c r="AR18" i="55"/>
  <c r="AQ18" i="55"/>
  <c r="AP18" i="55"/>
  <c r="BE17" i="55"/>
  <c r="BD17" i="55"/>
  <c r="BD5" i="55" s="1"/>
  <c r="BC17" i="55"/>
  <c r="BC5" i="55" s="1"/>
  <c r="BB17" i="55"/>
  <c r="BB5" i="55" s="1"/>
  <c r="BA17" i="55"/>
  <c r="AZ17" i="55"/>
  <c r="AZ5" i="55" s="1"/>
  <c r="AY17" i="55"/>
  <c r="AX17" i="55"/>
  <c r="AX5" i="55"/>
  <c r="AW17" i="55"/>
  <c r="AV17" i="55"/>
  <c r="AV5" i="55" s="1"/>
  <c r="AU17" i="55"/>
  <c r="AU5" i="55" s="1"/>
  <c r="AT17" i="55"/>
  <c r="AT5" i="55" s="1"/>
  <c r="AS17" i="55"/>
  <c r="AS5" i="55" s="1"/>
  <c r="AR17" i="55"/>
  <c r="AR5" i="55" s="1"/>
  <c r="AQ17" i="55"/>
  <c r="AQ5" i="55" s="1"/>
  <c r="AP17" i="55"/>
  <c r="AP5" i="55" s="1"/>
  <c r="AO14" i="55"/>
  <c r="W14" i="55"/>
  <c r="BX7" i="55"/>
  <c r="BW7" i="55"/>
  <c r="BV7" i="55"/>
  <c r="BU7" i="55"/>
  <c r="BT7" i="55"/>
  <c r="BS7" i="55"/>
  <c r="BR7" i="55"/>
  <c r="BQ7" i="55"/>
  <c r="BP7" i="55"/>
  <c r="BO7" i="55"/>
  <c r="BN7" i="55"/>
  <c r="BM7" i="55"/>
  <c r="BL7" i="55"/>
  <c r="BK7" i="55"/>
  <c r="BJ7" i="55"/>
  <c r="BI7" i="55"/>
  <c r="AO5" i="55"/>
  <c r="BE17" i="25"/>
  <c r="BE5" i="25" s="1"/>
  <c r="X41" i="25"/>
  <c r="X49" i="25"/>
  <c r="J11" i="24"/>
  <c r="AM52" i="25"/>
  <c r="AL52" i="25"/>
  <c r="AK52" i="25"/>
  <c r="AJ52" i="25"/>
  <c r="AM51" i="25"/>
  <c r="AL51" i="25"/>
  <c r="AK51" i="25"/>
  <c r="AJ51" i="25"/>
  <c r="AM50" i="25"/>
  <c r="AL50" i="25"/>
  <c r="AK50" i="25"/>
  <c r="AJ50" i="25"/>
  <c r="AM49" i="25"/>
  <c r="AL49" i="25"/>
  <c r="AK49" i="25"/>
  <c r="AJ49" i="25"/>
  <c r="AI44" i="25"/>
  <c r="AH44" i="25"/>
  <c r="AH52" i="25"/>
  <c r="AG44" i="25"/>
  <c r="AG52" i="25" s="1"/>
  <c r="AF44" i="25"/>
  <c r="AF52" i="25" s="1"/>
  <c r="AE44" i="25"/>
  <c r="AE52" i="25" s="1"/>
  <c r="AD44" i="25"/>
  <c r="AD52" i="25" s="1"/>
  <c r="AC44" i="25"/>
  <c r="AC52" i="25" s="1"/>
  <c r="AB44" i="25"/>
  <c r="AB52" i="25" s="1"/>
  <c r="AA44" i="25"/>
  <c r="AA52" i="25" s="1"/>
  <c r="Z44" i="25"/>
  <c r="Z52" i="25" s="1"/>
  <c r="Y44" i="25"/>
  <c r="Y52" i="25" s="1"/>
  <c r="X44" i="25"/>
  <c r="X52" i="25" s="1"/>
  <c r="AI43" i="25"/>
  <c r="AI51" i="25" s="1"/>
  <c r="AH43" i="25"/>
  <c r="AH51" i="25" s="1"/>
  <c r="AG43" i="25"/>
  <c r="AG51" i="25" s="1"/>
  <c r="AF43" i="25"/>
  <c r="AF51" i="25" s="1"/>
  <c r="AE43" i="25"/>
  <c r="AD43" i="25"/>
  <c r="AD51" i="25"/>
  <c r="AC43" i="25"/>
  <c r="AC51" i="25" s="1"/>
  <c r="AB43" i="25"/>
  <c r="AB51" i="25" s="1"/>
  <c r="AA43" i="25"/>
  <c r="AA51" i="25" s="1"/>
  <c r="Z43" i="25"/>
  <c r="Z51" i="25" s="1"/>
  <c r="Y43" i="25"/>
  <c r="Y51" i="25" s="1"/>
  <c r="X43" i="25"/>
  <c r="X51" i="25" s="1"/>
  <c r="BE42" i="25"/>
  <c r="BD42" i="25"/>
  <c r="BC42" i="25"/>
  <c r="BB42" i="25"/>
  <c r="BA42" i="25"/>
  <c r="AZ42" i="25"/>
  <c r="AY42" i="25"/>
  <c r="AX42" i="25"/>
  <c r="AW42" i="25"/>
  <c r="AV42" i="25"/>
  <c r="AU42" i="25"/>
  <c r="AT42" i="25"/>
  <c r="AS42" i="25"/>
  <c r="AR42" i="25"/>
  <c r="AQ42" i="25"/>
  <c r="AP42" i="25"/>
  <c r="AI42" i="25"/>
  <c r="AH42" i="25"/>
  <c r="AH50" i="25" s="1"/>
  <c r="AG42" i="25"/>
  <c r="AF42" i="25"/>
  <c r="AF50" i="25" s="1"/>
  <c r="AE42" i="25"/>
  <c r="AE50" i="25" s="1"/>
  <c r="AD42" i="25"/>
  <c r="AD50" i="25" s="1"/>
  <c r="AC42" i="25"/>
  <c r="AC50" i="25" s="1"/>
  <c r="AB42" i="25"/>
  <c r="AB50" i="25" s="1"/>
  <c r="AA42" i="25"/>
  <c r="Z42" i="25"/>
  <c r="Z50" i="25" s="1"/>
  <c r="Y42" i="25"/>
  <c r="Y50" i="25" s="1"/>
  <c r="X42" i="25"/>
  <c r="X50" i="25" s="1"/>
  <c r="BE41" i="25"/>
  <c r="BD41" i="25"/>
  <c r="BC41" i="25"/>
  <c r="BB41" i="25"/>
  <c r="BA41" i="25"/>
  <c r="AZ41" i="25"/>
  <c r="AY41" i="25"/>
  <c r="AX41" i="25"/>
  <c r="AW41" i="25"/>
  <c r="AV41" i="25"/>
  <c r="AU41" i="25"/>
  <c r="AT41" i="25"/>
  <c r="AS41" i="25"/>
  <c r="AR41" i="25"/>
  <c r="AQ41" i="25"/>
  <c r="AP41" i="25"/>
  <c r="AI41" i="25"/>
  <c r="AH41" i="25"/>
  <c r="AH49" i="25" s="1"/>
  <c r="AG41" i="25"/>
  <c r="AG49" i="25" s="1"/>
  <c r="AF41" i="25"/>
  <c r="AF49" i="25" s="1"/>
  <c r="AE41" i="25"/>
  <c r="AE49" i="25" s="1"/>
  <c r="AD41" i="25"/>
  <c r="AD49" i="25"/>
  <c r="AC41" i="25"/>
  <c r="AB41" i="25"/>
  <c r="AB49" i="25" s="1"/>
  <c r="AA41" i="25"/>
  <c r="AA49" i="25" s="1"/>
  <c r="Z41" i="25"/>
  <c r="Z49" i="25" s="1"/>
  <c r="Y41" i="25"/>
  <c r="Y49" i="25" s="1"/>
  <c r="BE23" i="25"/>
  <c r="BD23" i="25"/>
  <c r="BC23" i="25"/>
  <c r="BB23" i="25"/>
  <c r="BA23" i="25"/>
  <c r="AZ23" i="25"/>
  <c r="AY23" i="25"/>
  <c r="AX23" i="25"/>
  <c r="AW23" i="25"/>
  <c r="AV23" i="25"/>
  <c r="AU23" i="25"/>
  <c r="AT23" i="25"/>
  <c r="AS23" i="25"/>
  <c r="AR23" i="25"/>
  <c r="AQ23" i="25"/>
  <c r="AP23" i="25"/>
  <c r="BE22" i="25"/>
  <c r="BD22" i="25"/>
  <c r="BC22" i="25"/>
  <c r="BB22" i="25"/>
  <c r="BA22" i="25"/>
  <c r="AZ22" i="25"/>
  <c r="AY22" i="25"/>
  <c r="AX22" i="25"/>
  <c r="AW22" i="25"/>
  <c r="AV22" i="25"/>
  <c r="AU22" i="25"/>
  <c r="AT22" i="25"/>
  <c r="AS22" i="25"/>
  <c r="AR22" i="25"/>
  <c r="AQ22" i="25"/>
  <c r="AP22" i="25"/>
  <c r="BE21" i="25"/>
  <c r="BD21" i="25"/>
  <c r="BC21" i="25"/>
  <c r="BB21" i="25"/>
  <c r="BA21" i="25"/>
  <c r="AZ21" i="25"/>
  <c r="AY21" i="25"/>
  <c r="AX21" i="25"/>
  <c r="AW21" i="25"/>
  <c r="AV21" i="25"/>
  <c r="AU21" i="25"/>
  <c r="AT21" i="25"/>
  <c r="AS21" i="25"/>
  <c r="AR21" i="25"/>
  <c r="AQ21" i="25"/>
  <c r="AP21" i="25"/>
  <c r="BE19" i="25"/>
  <c r="BD19" i="25"/>
  <c r="BC19" i="25"/>
  <c r="BB19" i="25"/>
  <c r="BA19" i="25"/>
  <c r="AZ19" i="25"/>
  <c r="AY19" i="25"/>
  <c r="AX19" i="25"/>
  <c r="AW19" i="25"/>
  <c r="AV19" i="25"/>
  <c r="AU19" i="25"/>
  <c r="AT19" i="25"/>
  <c r="AS19" i="25"/>
  <c r="AR19" i="25"/>
  <c r="AQ19" i="25"/>
  <c r="AP19" i="25"/>
  <c r="BE18" i="25"/>
  <c r="BD18" i="25"/>
  <c r="BC18" i="25"/>
  <c r="BB18" i="25"/>
  <c r="BA18" i="25"/>
  <c r="AZ18" i="25"/>
  <c r="AY18" i="25"/>
  <c r="AX18" i="25"/>
  <c r="AW18" i="25"/>
  <c r="AV18" i="25"/>
  <c r="AU18" i="25"/>
  <c r="AT18" i="25"/>
  <c r="AS18" i="25"/>
  <c r="AR18" i="25"/>
  <c r="AQ18" i="25"/>
  <c r="AP18" i="25"/>
  <c r="BD17" i="25"/>
  <c r="BD5" i="25" s="1"/>
  <c r="BC17" i="25"/>
  <c r="BB17" i="25"/>
  <c r="BB5" i="25" s="1"/>
  <c r="BA17" i="25"/>
  <c r="BA5" i="25" s="1"/>
  <c r="AZ17" i="25"/>
  <c r="AZ5" i="25" s="1"/>
  <c r="AY17" i="25"/>
  <c r="AY5" i="25" s="1"/>
  <c r="AX17" i="25"/>
  <c r="AX5" i="25" s="1"/>
  <c r="AW17" i="25"/>
  <c r="AW5" i="25" s="1"/>
  <c r="AV17" i="25"/>
  <c r="AV5" i="25"/>
  <c r="AU17" i="25"/>
  <c r="AT17" i="25"/>
  <c r="AT5" i="25" s="1"/>
  <c r="AS17" i="25"/>
  <c r="AS5" i="25" s="1"/>
  <c r="AR17" i="25"/>
  <c r="AR5" i="25" s="1"/>
  <c r="AQ17" i="25"/>
  <c r="AQ5" i="25" s="1"/>
  <c r="AP17" i="25"/>
  <c r="AP5" i="25" s="1"/>
  <c r="AO14" i="25"/>
  <c r="W15" i="25"/>
  <c r="BX7" i="25"/>
  <c r="BW7" i="25"/>
  <c r="BV7" i="25"/>
  <c r="BU7" i="25"/>
  <c r="BT7" i="25"/>
  <c r="BS7" i="25"/>
  <c r="BR7" i="25"/>
  <c r="BQ7" i="25"/>
  <c r="BP7" i="25"/>
  <c r="BO7" i="25"/>
  <c r="BN7" i="25"/>
  <c r="BM7" i="25"/>
  <c r="BL7" i="25"/>
  <c r="BK7" i="25"/>
  <c r="BJ7" i="25"/>
  <c r="BI7" i="25"/>
  <c r="AO5" i="25"/>
  <c r="B11" i="24"/>
  <c r="G11" i="24"/>
  <c r="H11" i="24" s="1"/>
  <c r="K11" i="24"/>
  <c r="M11" i="24"/>
  <c r="N11" i="24" s="1"/>
  <c r="P11" i="24"/>
  <c r="Q11" i="24" s="1"/>
  <c r="AO5" i="19"/>
  <c r="BI7" i="19"/>
  <c r="BJ7" i="19"/>
  <c r="BK7" i="19"/>
  <c r="BL7" i="19"/>
  <c r="BM7" i="19"/>
  <c r="BN7" i="19"/>
  <c r="BO7" i="19"/>
  <c r="BP7" i="19"/>
  <c r="BQ7" i="19"/>
  <c r="BR7" i="19"/>
  <c r="BS7" i="19"/>
  <c r="BT7" i="19"/>
  <c r="BU7" i="19"/>
  <c r="BV7" i="19"/>
  <c r="BW7" i="19"/>
  <c r="BX7" i="19"/>
  <c r="W14" i="19"/>
  <c r="AO14" i="19"/>
  <c r="AP17" i="19"/>
  <c r="AP5" i="19" s="1"/>
  <c r="AQ17" i="19"/>
  <c r="AR17" i="19"/>
  <c r="AR5" i="19" s="1"/>
  <c r="AS17" i="19"/>
  <c r="AS5" i="19" s="1"/>
  <c r="AT17" i="19"/>
  <c r="AT5" i="19"/>
  <c r="AU17" i="19"/>
  <c r="AU5" i="19" s="1"/>
  <c r="AV17" i="19"/>
  <c r="AV5" i="19"/>
  <c r="AW17" i="19"/>
  <c r="AW5" i="19" s="1"/>
  <c r="AX17" i="19"/>
  <c r="AX5" i="19" s="1"/>
  <c r="AY17" i="19"/>
  <c r="AY5" i="19" s="1"/>
  <c r="AZ17" i="19"/>
  <c r="AZ5" i="19" s="1"/>
  <c r="BA17" i="19"/>
  <c r="BA5" i="19" s="1"/>
  <c r="BB17" i="19"/>
  <c r="BB5" i="19"/>
  <c r="BC17" i="19"/>
  <c r="BC5" i="19" s="1"/>
  <c r="BD17" i="19"/>
  <c r="BD5" i="19" s="1"/>
  <c r="BE17" i="19"/>
  <c r="BE5" i="19" s="1"/>
  <c r="AP18" i="19"/>
  <c r="AQ18" i="19"/>
  <c r="AR18" i="19"/>
  <c r="AS18" i="19"/>
  <c r="AT18" i="19"/>
  <c r="AU18" i="19"/>
  <c r="AV18" i="19"/>
  <c r="AW18" i="19"/>
  <c r="AX18" i="19"/>
  <c r="AY18" i="19"/>
  <c r="AZ18" i="19"/>
  <c r="BA18" i="19"/>
  <c r="BB18" i="19"/>
  <c r="BC18" i="19"/>
  <c r="BD18" i="19"/>
  <c r="BE18" i="19"/>
  <c r="AP19" i="19"/>
  <c r="AQ19" i="19"/>
  <c r="AR19" i="19"/>
  <c r="AS19" i="19"/>
  <c r="AT19" i="19"/>
  <c r="AU19" i="19"/>
  <c r="AV19" i="19"/>
  <c r="AW19" i="19"/>
  <c r="AX19" i="19"/>
  <c r="AY19" i="19"/>
  <c r="AZ19" i="19"/>
  <c r="BA19" i="19"/>
  <c r="BB19" i="19"/>
  <c r="BC19" i="19"/>
  <c r="BD19" i="19"/>
  <c r="BE19" i="19"/>
  <c r="AP21" i="19"/>
  <c r="AQ21" i="19"/>
  <c r="AR21" i="19"/>
  <c r="AS21" i="19"/>
  <c r="AT21" i="19"/>
  <c r="AU21" i="19"/>
  <c r="AV21" i="19"/>
  <c r="AW21" i="19"/>
  <c r="AX21" i="19"/>
  <c r="AY21" i="19"/>
  <c r="AZ21" i="19"/>
  <c r="BA21" i="19"/>
  <c r="BB21" i="19"/>
  <c r="BC21" i="19"/>
  <c r="BD21" i="19"/>
  <c r="BE21" i="19"/>
  <c r="AP22" i="19"/>
  <c r="AQ22" i="19"/>
  <c r="AR22" i="19"/>
  <c r="AS22" i="19"/>
  <c r="AT22" i="19"/>
  <c r="AU22" i="19"/>
  <c r="AV22" i="19"/>
  <c r="AW22" i="19"/>
  <c r="AX22" i="19"/>
  <c r="AY22" i="19"/>
  <c r="AZ22" i="19"/>
  <c r="BA22" i="19"/>
  <c r="BB22" i="19"/>
  <c r="BC22" i="19"/>
  <c r="BD22" i="19"/>
  <c r="BE22" i="19"/>
  <c r="AP23" i="19"/>
  <c r="AQ23" i="19"/>
  <c r="AR23" i="19"/>
  <c r="AS23" i="19"/>
  <c r="AT23" i="19"/>
  <c r="AU23" i="19"/>
  <c r="AV23" i="19"/>
  <c r="AW23" i="19"/>
  <c r="AX23" i="19"/>
  <c r="AY23" i="19"/>
  <c r="AZ23" i="19"/>
  <c r="BA23" i="19"/>
  <c r="BB23" i="19"/>
  <c r="BC23" i="19"/>
  <c r="BD23" i="19"/>
  <c r="BE23" i="19"/>
  <c r="X41" i="19"/>
  <c r="X49" i="19" s="1"/>
  <c r="Y41" i="19"/>
  <c r="Z41" i="19"/>
  <c r="Z49" i="19" s="1"/>
  <c r="AA41" i="19"/>
  <c r="AA49" i="19" s="1"/>
  <c r="AB41" i="19"/>
  <c r="AB49" i="19" s="1"/>
  <c r="AC41" i="19"/>
  <c r="AC49" i="19" s="1"/>
  <c r="AD41" i="19"/>
  <c r="AD49" i="19"/>
  <c r="AE41" i="19"/>
  <c r="AE49" i="19" s="1"/>
  <c r="AF41" i="19"/>
  <c r="AF49" i="19" s="1"/>
  <c r="AG41" i="19"/>
  <c r="AG49" i="19" s="1"/>
  <c r="AH41" i="19"/>
  <c r="AH49" i="19" s="1"/>
  <c r="AI41" i="19"/>
  <c r="AI49" i="19" s="1"/>
  <c r="AP41" i="19"/>
  <c r="AQ41" i="19"/>
  <c r="AR41" i="19"/>
  <c r="AS41" i="19"/>
  <c r="AT41" i="19"/>
  <c r="AU41" i="19"/>
  <c r="AV41" i="19"/>
  <c r="AW41" i="19"/>
  <c r="AX41" i="19"/>
  <c r="AY41" i="19"/>
  <c r="AZ41" i="19"/>
  <c r="BA41" i="19"/>
  <c r="BB41" i="19"/>
  <c r="BC41" i="19"/>
  <c r="BD41" i="19"/>
  <c r="BE41" i="19"/>
  <c r="X42" i="19"/>
  <c r="X50" i="19" s="1"/>
  <c r="Y42" i="19"/>
  <c r="Y50" i="19" s="1"/>
  <c r="Z42" i="19"/>
  <c r="Z50" i="19" s="1"/>
  <c r="AA42" i="19"/>
  <c r="AA50" i="19" s="1"/>
  <c r="AB42" i="19"/>
  <c r="AB50" i="19" s="1"/>
  <c r="AC42" i="19"/>
  <c r="AC50" i="19" s="1"/>
  <c r="AD42" i="19"/>
  <c r="AD50" i="19" s="1"/>
  <c r="AE42" i="19"/>
  <c r="AE50" i="19" s="1"/>
  <c r="AF42" i="19"/>
  <c r="AF50" i="19" s="1"/>
  <c r="AG42" i="19"/>
  <c r="AG50" i="19" s="1"/>
  <c r="AH42" i="19"/>
  <c r="AH50" i="19"/>
  <c r="AI42" i="19"/>
  <c r="AI50" i="19" s="1"/>
  <c r="AP42" i="19"/>
  <c r="AQ42" i="19"/>
  <c r="AR42" i="19"/>
  <c r="AS42" i="19"/>
  <c r="AT42" i="19"/>
  <c r="AU42" i="19"/>
  <c r="AV42" i="19"/>
  <c r="AW42" i="19"/>
  <c r="AX42" i="19"/>
  <c r="AY42" i="19"/>
  <c r="AZ42" i="19"/>
  <c r="BA42" i="19"/>
  <c r="BB42" i="19"/>
  <c r="BC42" i="19"/>
  <c r="BD42" i="19"/>
  <c r="BE42" i="19"/>
  <c r="X43" i="19"/>
  <c r="X51" i="19" s="1"/>
  <c r="Y43" i="19"/>
  <c r="Z43" i="19"/>
  <c r="Z51" i="19" s="1"/>
  <c r="AA43" i="19"/>
  <c r="AA51" i="19" s="1"/>
  <c r="AB43" i="19"/>
  <c r="AB51" i="19" s="1"/>
  <c r="AC43" i="19"/>
  <c r="AC51" i="19" s="1"/>
  <c r="AD43" i="19"/>
  <c r="AD51" i="19" s="1"/>
  <c r="AE43" i="19"/>
  <c r="AE51" i="19" s="1"/>
  <c r="AF43" i="19"/>
  <c r="AF51" i="19" s="1"/>
  <c r="AG43" i="19"/>
  <c r="AH43" i="19"/>
  <c r="AH51" i="19" s="1"/>
  <c r="AI43" i="19"/>
  <c r="AI51" i="19" s="1"/>
  <c r="X44" i="19"/>
  <c r="X52" i="19" s="1"/>
  <c r="Y44" i="19"/>
  <c r="Y52" i="19" s="1"/>
  <c r="Z44" i="19"/>
  <c r="Z52" i="19"/>
  <c r="AA44" i="19"/>
  <c r="AA52" i="19" s="1"/>
  <c r="AB44" i="19"/>
  <c r="AB52" i="19" s="1"/>
  <c r="AC44" i="19"/>
  <c r="AD44" i="19"/>
  <c r="AD52" i="19" s="1"/>
  <c r="AE44" i="19"/>
  <c r="AE52" i="19" s="1"/>
  <c r="AF44" i="19"/>
  <c r="AF52" i="19" s="1"/>
  <c r="AG44" i="19"/>
  <c r="AG52" i="19" s="1"/>
  <c r="AH44" i="19"/>
  <c r="AH52" i="19" s="1"/>
  <c r="AI44" i="19"/>
  <c r="AI52" i="19" s="1"/>
  <c r="AJ49" i="19"/>
  <c r="AK49" i="19"/>
  <c r="AL49" i="19"/>
  <c r="AM49" i="19"/>
  <c r="AJ50" i="19"/>
  <c r="AK50" i="19"/>
  <c r="AL50" i="19"/>
  <c r="AM50" i="19"/>
  <c r="AJ51" i="19"/>
  <c r="AK51" i="19"/>
  <c r="AL51" i="19"/>
  <c r="AM51" i="19"/>
  <c r="AC52" i="19"/>
  <c r="AJ52" i="19"/>
  <c r="AK52" i="19"/>
  <c r="AL52" i="19"/>
  <c r="AM52" i="19"/>
  <c r="AO7" i="18"/>
  <c r="BI9" i="18"/>
  <c r="BJ9" i="18"/>
  <c r="BK9" i="18"/>
  <c r="BL9" i="18"/>
  <c r="BM9" i="18"/>
  <c r="BN9" i="18"/>
  <c r="BO9" i="18"/>
  <c r="BP9" i="18"/>
  <c r="BQ9" i="18"/>
  <c r="BR9" i="18"/>
  <c r="BS9" i="18"/>
  <c r="BT9" i="18"/>
  <c r="BU9" i="18"/>
  <c r="BV9" i="18"/>
  <c r="BW9" i="18"/>
  <c r="BX9" i="18"/>
  <c r="AO16" i="18"/>
  <c r="AP19" i="18"/>
  <c r="AP7" i="18"/>
  <c r="AQ19" i="18"/>
  <c r="AQ7" i="18" s="1"/>
  <c r="AR19" i="18"/>
  <c r="AR7" i="18" s="1"/>
  <c r="AS19" i="18"/>
  <c r="AS7" i="18" s="1"/>
  <c r="AT19" i="18"/>
  <c r="AT7" i="18" s="1"/>
  <c r="AU19" i="18"/>
  <c r="AU7" i="18" s="1"/>
  <c r="AV19" i="18"/>
  <c r="AV7" i="18" s="1"/>
  <c r="AW19" i="18"/>
  <c r="AW7" i="18" s="1"/>
  <c r="AX19" i="18"/>
  <c r="AX7" i="18"/>
  <c r="AY19" i="18"/>
  <c r="AY7" i="18" s="1"/>
  <c r="AZ19" i="18"/>
  <c r="AZ7" i="18"/>
  <c r="BA19" i="18"/>
  <c r="BA7" i="18" s="1"/>
  <c r="BB19" i="18"/>
  <c r="BB7" i="18" s="1"/>
  <c r="BC19" i="18"/>
  <c r="BC7" i="18" s="1"/>
  <c r="BD19" i="18"/>
  <c r="BD7" i="18" s="1"/>
  <c r="BE19" i="18"/>
  <c r="BE7" i="18" s="1"/>
  <c r="AP20" i="18"/>
  <c r="AQ20" i="18"/>
  <c r="AR20" i="18"/>
  <c r="AS20" i="18"/>
  <c r="AT20" i="18"/>
  <c r="AU20" i="18"/>
  <c r="AV20" i="18"/>
  <c r="AW20" i="18"/>
  <c r="AX20" i="18"/>
  <c r="AY20" i="18"/>
  <c r="AZ20" i="18"/>
  <c r="BA20" i="18"/>
  <c r="BB20" i="18"/>
  <c r="BC20" i="18"/>
  <c r="BD20" i="18"/>
  <c r="BE20" i="18"/>
  <c r="AP21" i="18"/>
  <c r="AQ21" i="18"/>
  <c r="AR21" i="18"/>
  <c r="AS21" i="18"/>
  <c r="AT21" i="18"/>
  <c r="AU21" i="18"/>
  <c r="AV21" i="18"/>
  <c r="AW21" i="18"/>
  <c r="AX21" i="18"/>
  <c r="AY21" i="18"/>
  <c r="AZ21" i="18"/>
  <c r="BA21" i="18"/>
  <c r="BB21" i="18"/>
  <c r="BC21" i="18"/>
  <c r="BD21" i="18"/>
  <c r="BE21" i="18"/>
  <c r="AP23" i="18"/>
  <c r="AQ23" i="18"/>
  <c r="AR23" i="18"/>
  <c r="AS23" i="18"/>
  <c r="AT23" i="18"/>
  <c r="AU23" i="18"/>
  <c r="AV23" i="18"/>
  <c r="AW23" i="18"/>
  <c r="AX23" i="18"/>
  <c r="AY23" i="18"/>
  <c r="AZ23" i="18"/>
  <c r="BA23" i="18"/>
  <c r="BB23" i="18"/>
  <c r="BC23" i="18"/>
  <c r="BD23" i="18"/>
  <c r="BE23" i="18"/>
  <c r="AP24" i="18"/>
  <c r="AQ24" i="18"/>
  <c r="AR24" i="18"/>
  <c r="AS24" i="18"/>
  <c r="AT24" i="18"/>
  <c r="AU24" i="18"/>
  <c r="AV24" i="18"/>
  <c r="AW24" i="18"/>
  <c r="AX24" i="18"/>
  <c r="AY24" i="18"/>
  <c r="AZ24" i="18"/>
  <c r="BA24" i="18"/>
  <c r="BB24" i="18"/>
  <c r="BC24" i="18"/>
  <c r="BD24" i="18"/>
  <c r="BE24" i="18"/>
  <c r="AP25" i="18"/>
  <c r="AQ25" i="18"/>
  <c r="AR25" i="18"/>
  <c r="AS25" i="18"/>
  <c r="AT25" i="18"/>
  <c r="AU25" i="18"/>
  <c r="AV25" i="18"/>
  <c r="AW25" i="18"/>
  <c r="AX25" i="18"/>
  <c r="AY25" i="18"/>
  <c r="AZ25" i="18"/>
  <c r="BA25" i="18"/>
  <c r="BB25" i="18"/>
  <c r="BC25" i="18"/>
  <c r="BD25" i="18"/>
  <c r="BE25" i="18"/>
  <c r="X43" i="18"/>
  <c r="X51" i="18"/>
  <c r="Y43" i="18"/>
  <c r="Y51" i="18" s="1"/>
  <c r="Z43" i="18"/>
  <c r="Z51" i="18"/>
  <c r="AA43" i="18"/>
  <c r="AA51" i="18" s="1"/>
  <c r="AB43" i="18"/>
  <c r="AB51" i="18" s="1"/>
  <c r="AC43" i="18"/>
  <c r="AC51" i="18" s="1"/>
  <c r="AD43" i="18"/>
  <c r="AD51" i="18" s="1"/>
  <c r="AE43" i="18"/>
  <c r="AE51" i="18" s="1"/>
  <c r="AF43" i="18"/>
  <c r="AF51" i="18"/>
  <c r="AG43" i="18"/>
  <c r="AG51" i="18" s="1"/>
  <c r="AH43" i="18"/>
  <c r="AH51" i="18"/>
  <c r="AI43" i="18"/>
  <c r="AI51" i="18" s="1"/>
  <c r="AP43" i="18"/>
  <c r="AQ43" i="18"/>
  <c r="AR43" i="18"/>
  <c r="AS43" i="18"/>
  <c r="AT43" i="18"/>
  <c r="AU43" i="18"/>
  <c r="AV43" i="18"/>
  <c r="AW43" i="18"/>
  <c r="AX43" i="18"/>
  <c r="AY43" i="18"/>
  <c r="AZ43" i="18"/>
  <c r="BA43" i="18"/>
  <c r="BB43" i="18"/>
  <c r="BC43" i="18"/>
  <c r="BD43" i="18"/>
  <c r="BE43" i="18"/>
  <c r="X44" i="18"/>
  <c r="X52" i="18" s="1"/>
  <c r="Y44" i="18"/>
  <c r="Y52" i="18" s="1"/>
  <c r="Z44" i="18"/>
  <c r="Z52" i="18" s="1"/>
  <c r="AA44" i="18"/>
  <c r="AA52" i="18" s="1"/>
  <c r="AB44" i="18"/>
  <c r="AB52" i="18"/>
  <c r="AC44" i="18"/>
  <c r="AC52" i="18" s="1"/>
  <c r="AD44" i="18"/>
  <c r="AD52" i="18"/>
  <c r="AE44" i="18"/>
  <c r="AE52" i="18" s="1"/>
  <c r="AF44" i="18"/>
  <c r="AF52" i="18" s="1"/>
  <c r="AG44" i="18"/>
  <c r="AG52" i="18" s="1"/>
  <c r="AH44" i="18"/>
  <c r="AH52" i="18" s="1"/>
  <c r="AI44" i="18"/>
  <c r="AI52" i="18" s="1"/>
  <c r="AP44" i="18"/>
  <c r="AQ44" i="18"/>
  <c r="AR44" i="18"/>
  <c r="AS44" i="18"/>
  <c r="AT44" i="18"/>
  <c r="AU44" i="18"/>
  <c r="AV44" i="18"/>
  <c r="AW44" i="18"/>
  <c r="AX44" i="18"/>
  <c r="AY44" i="18"/>
  <c r="AZ44" i="18"/>
  <c r="BA44" i="18"/>
  <c r="BB44" i="18"/>
  <c r="BC44" i="18"/>
  <c r="BD44" i="18"/>
  <c r="BE44" i="18"/>
  <c r="X45" i="18"/>
  <c r="X53" i="18"/>
  <c r="Y45" i="18"/>
  <c r="Y53" i="18" s="1"/>
  <c r="Z45" i="18"/>
  <c r="Z53" i="18"/>
  <c r="AA45" i="18"/>
  <c r="AA53" i="18" s="1"/>
  <c r="AB45" i="18"/>
  <c r="AB53" i="18" s="1"/>
  <c r="AC45" i="18"/>
  <c r="AC53" i="18" s="1"/>
  <c r="AD45" i="18"/>
  <c r="AD53" i="18" s="1"/>
  <c r="AE45" i="18"/>
  <c r="AF45" i="18"/>
  <c r="AG45" i="18"/>
  <c r="AG53" i="18" s="1"/>
  <c r="AH45" i="18"/>
  <c r="AH53" i="18"/>
  <c r="AI45" i="18"/>
  <c r="AI53" i="18" s="1"/>
  <c r="X46" i="18"/>
  <c r="X54" i="18"/>
  <c r="Y46" i="18"/>
  <c r="Y54" i="18" s="1"/>
  <c r="Z46" i="18"/>
  <c r="Z54" i="18"/>
  <c r="AA46" i="18"/>
  <c r="AA54" i="18" s="1"/>
  <c r="AB46" i="18"/>
  <c r="AB54" i="18"/>
  <c r="AC46" i="18"/>
  <c r="AC54" i="18" s="1"/>
  <c r="AD46" i="18"/>
  <c r="AD54" i="18"/>
  <c r="AE46" i="18"/>
  <c r="AE54" i="18" s="1"/>
  <c r="AF46" i="18"/>
  <c r="AF54" i="18"/>
  <c r="AG46" i="18"/>
  <c r="AG54" i="18" s="1"/>
  <c r="AH46" i="18"/>
  <c r="AH54" i="18" s="1"/>
  <c r="AI46" i="18"/>
  <c r="AI54" i="18"/>
  <c r="AJ51" i="18"/>
  <c r="AK51" i="18"/>
  <c r="AL51" i="18"/>
  <c r="AM51" i="18"/>
  <c r="AJ52" i="18"/>
  <c r="AK52" i="18"/>
  <c r="AL52" i="18"/>
  <c r="AM52" i="18"/>
  <c r="AJ53" i="18"/>
  <c r="AK53" i="18"/>
  <c r="AL53" i="18"/>
  <c r="AM53" i="18"/>
  <c r="AJ54" i="18"/>
  <c r="AK54" i="18"/>
  <c r="AL54" i="18"/>
  <c r="AM54" i="18"/>
  <c r="H38" i="93"/>
  <c r="AF53" i="18"/>
  <c r="H29" i="93"/>
  <c r="H20" i="93"/>
  <c r="N166" i="99"/>
  <c r="I103" i="98"/>
  <c r="Y28" i="19"/>
  <c r="U2" i="18"/>
  <c r="V2" i="55"/>
  <c r="U1" i="18"/>
  <c r="AF50" i="56"/>
  <c r="Y27" i="55"/>
  <c r="E27" i="70"/>
  <c r="H9" i="98"/>
  <c r="J20" i="98"/>
  <c r="AE6" i="55"/>
  <c r="AW6" i="55" s="1"/>
  <c r="I17" i="19"/>
  <c r="I31" i="19" s="1"/>
  <c r="E9" i="70"/>
  <c r="H27" i="70"/>
  <c r="K22" i="93"/>
  <c r="H41" i="93"/>
  <c r="E11" i="93"/>
  <c r="E41" i="93"/>
  <c r="E42" i="93"/>
  <c r="H18" i="70"/>
  <c r="K5" i="74"/>
  <c r="M12" i="74"/>
  <c r="K19" i="70"/>
  <c r="J124" i="99"/>
  <c r="E39" i="70"/>
  <c r="H11" i="93"/>
  <c r="H19" i="18"/>
  <c r="AC17" i="18" s="1"/>
  <c r="AU17" i="18" s="1"/>
  <c r="P17" i="56"/>
  <c r="AK15" i="56" s="1"/>
  <c r="BC15" i="56" s="1"/>
  <c r="H17" i="55"/>
  <c r="H31" i="55" s="1"/>
  <c r="H41" i="55" s="1"/>
  <c r="H52" i="55" s="1"/>
  <c r="AC48" i="55" s="1"/>
  <c r="Y6" i="55"/>
  <c r="AQ6" i="55" s="1"/>
  <c r="H9" i="99"/>
  <c r="M106" i="98"/>
  <c r="K90" i="99"/>
  <c r="AC27" i="56"/>
  <c r="Y28" i="56"/>
  <c r="E21" i="93"/>
  <c r="H42" i="93"/>
  <c r="H26" i="93"/>
  <c r="E30" i="93"/>
  <c r="M17" i="56"/>
  <c r="AH15" i="56" s="1"/>
  <c r="AZ15" i="56" s="1"/>
  <c r="H30" i="93"/>
  <c r="K12" i="93"/>
  <c r="H21" i="93"/>
  <c r="E8" i="93"/>
  <c r="H12" i="93"/>
  <c r="L17" i="19"/>
  <c r="AG15" i="19" s="1"/>
  <c r="AY15" i="19" s="1"/>
  <c r="K23" i="93"/>
  <c r="E12" i="93"/>
  <c r="I93" i="98"/>
  <c r="J91" i="99"/>
  <c r="AJ8" i="18"/>
  <c r="BB8" i="18" s="1"/>
  <c r="W6" i="58"/>
  <c r="J82" i="58" s="1"/>
  <c r="H124" i="58"/>
  <c r="AC109" i="58" s="1"/>
  <c r="AK22" i="58"/>
  <c r="BC21" i="58" s="1"/>
  <c r="K17" i="56"/>
  <c r="K31" i="56" s="1"/>
  <c r="AF6" i="56"/>
  <c r="AX6" i="56" s="1"/>
  <c r="Y101" i="58"/>
  <c r="AQ100" i="58" s="1"/>
  <c r="C17" i="55"/>
  <c r="C31" i="55" s="1"/>
  <c r="X32" i="55" s="1"/>
  <c r="AP32" i="55" s="1"/>
  <c r="AC22" i="58"/>
  <c r="AU21" i="58" s="1"/>
  <c r="AU12" i="58"/>
  <c r="Y22" i="58"/>
  <c r="AQ21" i="58" s="1"/>
  <c r="AF8" i="18"/>
  <c r="AX8" i="18" s="1"/>
  <c r="W2" i="58"/>
  <c r="G38" i="58" s="1"/>
  <c r="AH8" i="18"/>
  <c r="AZ8" i="18" s="1"/>
  <c r="H9" i="70"/>
  <c r="K9" i="70"/>
  <c r="K104" i="98"/>
  <c r="E38" i="70"/>
  <c r="J37" i="99"/>
  <c r="H11" i="98"/>
  <c r="I10" i="98"/>
  <c r="J10" i="98" s="1"/>
  <c r="J11" i="98" s="1"/>
  <c r="H18" i="93"/>
  <c r="E29" i="93"/>
  <c r="K11" i="93"/>
  <c r="J98" i="98"/>
  <c r="K98" i="98" s="1"/>
  <c r="I16" i="98"/>
  <c r="I17" i="98" s="1"/>
  <c r="K121" i="99"/>
  <c r="AJ101" i="58"/>
  <c r="BB100" i="58" s="1"/>
  <c r="AF22" i="58"/>
  <c r="AX21" i="58" s="1"/>
  <c r="J17" i="56"/>
  <c r="AE15" i="56" s="1"/>
  <c r="AW15" i="56" s="1"/>
  <c r="I17" i="25"/>
  <c r="I31" i="25" s="1"/>
  <c r="AT11" i="58"/>
  <c r="AA101" i="58"/>
  <c r="AS100" i="58" s="1"/>
  <c r="AA22" i="58"/>
  <c r="AS21" i="58" s="1"/>
  <c r="Q17" i="56"/>
  <c r="I29" i="99"/>
  <c r="I30" i="99" s="1"/>
  <c r="I14" i="99"/>
  <c r="J14" i="99" s="1"/>
  <c r="H15" i="99"/>
  <c r="H11" i="99"/>
  <c r="M90" i="99"/>
  <c r="AD6" i="56"/>
  <c r="W1" i="55"/>
  <c r="J13" i="55" s="1"/>
  <c r="Y30" i="18"/>
  <c r="Y28" i="25"/>
  <c r="P124" i="58"/>
  <c r="AK109" i="58" s="1"/>
  <c r="N17" i="56"/>
  <c r="AI15" i="56" s="1"/>
  <c r="BA15" i="56" s="1"/>
  <c r="E33" i="18"/>
  <c r="E43" i="18" s="1"/>
  <c r="D31" i="55"/>
  <c r="D41" i="55" s="1"/>
  <c r="D52" i="55" s="1"/>
  <c r="Y48" i="55" s="1"/>
  <c r="D17" i="19"/>
  <c r="D31" i="19" s="1"/>
  <c r="W5" i="58"/>
  <c r="G70" i="58"/>
  <c r="AH88" i="58"/>
  <c r="D126" i="58" s="1"/>
  <c r="Q70" i="58"/>
  <c r="AI113" i="58"/>
  <c r="AA113" i="58"/>
  <c r="AC6" i="19"/>
  <c r="AU6" i="19" s="1"/>
  <c r="H17" i="19"/>
  <c r="H31" i="19" s="1"/>
  <c r="H41" i="19" s="1"/>
  <c r="H52" i="19" s="1"/>
  <c r="AC48" i="19" s="1"/>
  <c r="D19" i="18"/>
  <c r="Y17" i="18" s="1"/>
  <c r="AQ17" i="18" s="1"/>
  <c r="AX11" i="58"/>
  <c r="AU11" i="58"/>
  <c r="F19" i="18"/>
  <c r="Q17" i="55"/>
  <c r="Q31" i="55" s="1"/>
  <c r="AL32" i="55" s="1"/>
  <c r="BD32" i="55" s="1"/>
  <c r="H33" i="18"/>
  <c r="J31" i="103"/>
  <c r="G39" i="58"/>
  <c r="M40" i="58"/>
  <c r="C36" i="58"/>
  <c r="L38" i="58"/>
  <c r="I39" i="58"/>
  <c r="I41" i="58"/>
  <c r="O36" i="58"/>
  <c r="AC15" i="55"/>
  <c r="AU15" i="55" s="1"/>
  <c r="D82" i="58"/>
  <c r="AC32" i="55"/>
  <c r="AU32" i="55" s="1"/>
  <c r="K85" i="58"/>
  <c r="E74" i="58"/>
  <c r="L41" i="58"/>
  <c r="P83" i="58"/>
  <c r="L85" i="58"/>
  <c r="O85" i="58"/>
  <c r="I85" i="58"/>
  <c r="E82" i="58"/>
  <c r="C80" i="58"/>
  <c r="C85" i="58"/>
  <c r="L81" i="58"/>
  <c r="G85" i="58"/>
  <c r="M85" i="58"/>
  <c r="R85" i="58"/>
  <c r="P85" i="58"/>
  <c r="H80" i="58"/>
  <c r="K80" i="58"/>
  <c r="I82" i="58"/>
  <c r="H79" i="58"/>
  <c r="M83" i="58"/>
  <c r="G79" i="58"/>
  <c r="C79" i="58"/>
  <c r="M84" i="58"/>
  <c r="P84" i="58"/>
  <c r="N82" i="58"/>
  <c r="I79" i="58"/>
  <c r="M79" i="58"/>
  <c r="P82" i="58"/>
  <c r="R81" i="58"/>
  <c r="I80" i="58"/>
  <c r="F85" i="58"/>
  <c r="L82" i="58"/>
  <c r="O83" i="58"/>
  <c r="K83" i="58"/>
  <c r="P80" i="58"/>
  <c r="O79" i="58"/>
  <c r="K35" i="58"/>
  <c r="K36" i="58"/>
  <c r="J35" i="58"/>
  <c r="L35" i="58"/>
  <c r="I35" i="58"/>
  <c r="G41" i="58"/>
  <c r="I40" i="58"/>
  <c r="D36" i="58"/>
  <c r="E40" i="58"/>
  <c r="G40" i="58"/>
  <c r="J38" i="58"/>
  <c r="D37" i="58"/>
  <c r="L40" i="58"/>
  <c r="O38" i="58"/>
  <c r="N35" i="58"/>
  <c r="Q39" i="58"/>
  <c r="H37" i="58"/>
  <c r="I37" i="58"/>
  <c r="Q41" i="58"/>
  <c r="D39" i="58"/>
  <c r="C38" i="58"/>
  <c r="K37" i="58"/>
  <c r="M37" i="58"/>
  <c r="C40" i="58"/>
  <c r="M41" i="58"/>
  <c r="P41" i="58"/>
  <c r="R36" i="58"/>
  <c r="O37" i="58"/>
  <c r="P37" i="58"/>
  <c r="O41" i="58"/>
  <c r="H36" i="58"/>
  <c r="F38" i="58"/>
  <c r="I38" i="58"/>
  <c r="M36" i="58"/>
  <c r="M39" i="58"/>
  <c r="E38" i="58"/>
  <c r="D35" i="58"/>
  <c r="P38" i="58"/>
  <c r="H40" i="58"/>
  <c r="E36" i="58"/>
  <c r="O40" i="58"/>
  <c r="C41" i="58"/>
  <c r="Q36" i="58"/>
  <c r="C37" i="58"/>
  <c r="L36" i="58"/>
  <c r="D38" i="58"/>
  <c r="R38" i="58"/>
  <c r="H35" i="58"/>
  <c r="H38" i="58"/>
  <c r="D85" i="58"/>
  <c r="G84" i="58"/>
  <c r="F81" i="58"/>
  <c r="W1" i="19"/>
  <c r="K8" i="19" s="1"/>
  <c r="G36" i="58"/>
  <c r="J16" i="98"/>
  <c r="J17" i="98" s="1"/>
  <c r="G7" i="55"/>
  <c r="AA5" i="55" s="1"/>
  <c r="K9" i="55"/>
  <c r="AD16" i="25"/>
  <c r="AV15" i="25" s="1"/>
  <c r="F71" i="58"/>
  <c r="H9" i="55"/>
  <c r="Q74" i="58"/>
  <c r="I70" i="58"/>
  <c r="M9" i="55"/>
  <c r="P8" i="55"/>
  <c r="I11" i="55"/>
  <c r="Q13" i="55"/>
  <c r="L12" i="55"/>
  <c r="C12" i="55"/>
  <c r="I10" i="55"/>
  <c r="F7" i="55"/>
  <c r="I73" i="58"/>
  <c r="M70" i="58"/>
  <c r="E68" i="58"/>
  <c r="Q69" i="58"/>
  <c r="D70" i="58"/>
  <c r="P70" i="58"/>
  <c r="I69" i="58"/>
  <c r="N69" i="58"/>
  <c r="K69" i="58"/>
  <c r="Q73" i="58"/>
  <c r="O69" i="58"/>
  <c r="J74" i="58"/>
  <c r="Q68" i="58"/>
  <c r="L73" i="58"/>
  <c r="K74" i="58"/>
  <c r="F70" i="58"/>
  <c r="O68" i="58"/>
  <c r="M74" i="58"/>
  <c r="N71" i="58"/>
  <c r="H70" i="58"/>
  <c r="J71" i="58"/>
  <c r="P71" i="58"/>
  <c r="R72" i="58"/>
  <c r="Q71" i="58"/>
  <c r="D74" i="58"/>
  <c r="C74" i="58"/>
  <c r="H74" i="58"/>
  <c r="D73" i="58"/>
  <c r="G73" i="58"/>
  <c r="M73" i="58"/>
  <c r="K68" i="58"/>
  <c r="C70" i="58"/>
  <c r="M68" i="58"/>
  <c r="L74" i="58"/>
  <c r="P69" i="58"/>
  <c r="E71" i="58"/>
  <c r="H73" i="58"/>
  <c r="D69" i="58"/>
  <c r="O74" i="58"/>
  <c r="I74" i="58"/>
  <c r="G74" i="58"/>
  <c r="L68" i="58"/>
  <c r="K71" i="58"/>
  <c r="L69" i="58"/>
  <c r="M72" i="58"/>
  <c r="R69" i="58"/>
  <c r="L70" i="58"/>
  <c r="M71" i="58"/>
  <c r="H72" i="58"/>
  <c r="E69" i="58"/>
  <c r="K72" i="58"/>
  <c r="H71" i="58"/>
  <c r="G69" i="58"/>
  <c r="P74" i="58"/>
  <c r="J70" i="58"/>
  <c r="L72" i="58"/>
  <c r="P68" i="58"/>
  <c r="K70" i="58"/>
  <c r="E72" i="58"/>
  <c r="C73" i="58"/>
  <c r="O70" i="58"/>
  <c r="P72" i="58"/>
  <c r="O72" i="58"/>
  <c r="L71" i="58"/>
  <c r="C69" i="58"/>
  <c r="G68" i="58"/>
  <c r="M69" i="58"/>
  <c r="O71" i="58"/>
  <c r="R73" i="58"/>
  <c r="G71" i="58"/>
  <c r="D72" i="58"/>
  <c r="I71" i="58"/>
  <c r="R71" i="58"/>
  <c r="Q72" i="58"/>
  <c r="O73" i="58"/>
  <c r="C71" i="58"/>
  <c r="E70" i="58"/>
  <c r="H68" i="58"/>
  <c r="N73" i="58"/>
  <c r="C72" i="58"/>
  <c r="H69" i="58"/>
  <c r="K73" i="58"/>
  <c r="I72" i="58"/>
  <c r="D71" i="58"/>
  <c r="P73" i="58"/>
  <c r="D68" i="58"/>
  <c r="E73" i="58"/>
  <c r="C126" i="58"/>
  <c r="AC15" i="19"/>
  <c r="AU15" i="19" s="1"/>
  <c r="Y39" i="55"/>
  <c r="AQ39" i="55" s="1"/>
  <c r="J26" i="58"/>
  <c r="H30" i="58"/>
  <c r="D33" i="18"/>
  <c r="Y34" i="18" s="1"/>
  <c r="AQ34" i="18" s="1"/>
  <c r="AC34" i="18"/>
  <c r="AU34" i="18" s="1"/>
  <c r="H43" i="18"/>
  <c r="H54" i="18" s="1"/>
  <c r="AC50" i="18" s="1"/>
  <c r="P12" i="19"/>
  <c r="H7" i="19"/>
  <c r="X27" i="25"/>
  <c r="X29" i="18"/>
  <c r="X27" i="19"/>
  <c r="Y27" i="19"/>
  <c r="Y27" i="25"/>
  <c r="Y27" i="56"/>
  <c r="Y29" i="18"/>
  <c r="Z27" i="55" l="1"/>
  <c r="H35" i="55" s="1"/>
  <c r="AG27" i="25"/>
  <c r="AH27" i="19"/>
  <c r="AF6" i="19"/>
  <c r="AX6" i="19" s="1"/>
  <c r="AH6" i="55"/>
  <c r="AZ6" i="55" s="1"/>
  <c r="AG22" i="58"/>
  <c r="AY21" i="58" s="1"/>
  <c r="AK6" i="55"/>
  <c r="BC6" i="55" s="1"/>
  <c r="AC39" i="55"/>
  <c r="AU39" i="55" s="1"/>
  <c r="AW12" i="58"/>
  <c r="F52" i="25"/>
  <c r="AA48" i="25" s="1"/>
  <c r="AA16" i="25"/>
  <c r="AS15" i="25" s="1"/>
  <c r="E31" i="55"/>
  <c r="Z6" i="55"/>
  <c r="AR6" i="55" s="1"/>
  <c r="Y32" i="55"/>
  <c r="AQ32" i="55" s="1"/>
  <c r="C33" i="18"/>
  <c r="C43" i="18" s="1"/>
  <c r="C54" i="18" s="1"/>
  <c r="X50" i="18" s="1"/>
  <c r="X8" i="18"/>
  <c r="AP8" i="18" s="1"/>
  <c r="D25" i="58"/>
  <c r="E25" i="58"/>
  <c r="Q30" i="58"/>
  <c r="D40" i="58"/>
  <c r="D41" i="58"/>
  <c r="P40" i="58"/>
  <c r="P39" i="58"/>
  <c r="L37" i="58"/>
  <c r="AC89" i="58"/>
  <c r="AC28" i="56" s="1"/>
  <c r="AB28" i="56"/>
  <c r="E30" i="58"/>
  <c r="M27" i="58"/>
  <c r="P30" i="58"/>
  <c r="J28" i="58"/>
  <c r="G24" i="58"/>
  <c r="G29" i="58"/>
  <c r="R28" i="58"/>
  <c r="P28" i="58"/>
  <c r="J126" i="58"/>
  <c r="O126" i="58"/>
  <c r="C68" i="58"/>
  <c r="F68" i="58"/>
  <c r="N68" i="58"/>
  <c r="G25" i="58"/>
  <c r="AI8" i="18"/>
  <c r="BA8" i="18" s="1"/>
  <c r="C82" i="58"/>
  <c r="H82" i="58"/>
  <c r="E80" i="58"/>
  <c r="D79" i="58"/>
  <c r="G82" i="58"/>
  <c r="AM8" i="18"/>
  <c r="BE8" i="18" s="1"/>
  <c r="E124" i="58"/>
  <c r="Z109" i="58" s="1"/>
  <c r="R17" i="56"/>
  <c r="AM6" i="56"/>
  <c r="BE6" i="56" s="1"/>
  <c r="AA6" i="56"/>
  <c r="AS6" i="56" s="1"/>
  <c r="F17" i="56"/>
  <c r="AI6" i="55"/>
  <c r="BA6" i="55" s="1"/>
  <c r="Q83" i="58"/>
  <c r="I83" i="58"/>
  <c r="E83" i="58"/>
  <c r="M81" i="58"/>
  <c r="Q80" i="58"/>
  <c r="BD11" i="58"/>
  <c r="Q35" i="58"/>
  <c r="AZ11" i="58"/>
  <c r="M35" i="58"/>
  <c r="G72" i="58"/>
  <c r="I68" i="58"/>
  <c r="J19" i="18"/>
  <c r="AE8" i="18"/>
  <c r="AW8" i="18" s="1"/>
  <c r="AC27" i="25"/>
  <c r="AC27" i="19"/>
  <c r="AC41" i="18"/>
  <c r="AU41" i="18" s="1"/>
  <c r="K30" i="58"/>
  <c r="O24" i="58"/>
  <c r="I28" i="58"/>
  <c r="E24" i="58"/>
  <c r="C30" i="58"/>
  <c r="C27" i="58"/>
  <c r="D29" i="58"/>
  <c r="P26" i="58"/>
  <c r="R126" i="58"/>
  <c r="J68" i="58"/>
  <c r="J25" i="58"/>
  <c r="J79" i="58"/>
  <c r="F35" i="58"/>
  <c r="C35" i="58"/>
  <c r="AB101" i="58"/>
  <c r="AT100" i="58" s="1"/>
  <c r="G124" i="58"/>
  <c r="AB109" i="58" s="1"/>
  <c r="J17" i="25"/>
  <c r="AE6" i="25"/>
  <c r="AW6" i="25" s="1"/>
  <c r="L84" i="58"/>
  <c r="P81" i="58"/>
  <c r="H81" i="58"/>
  <c r="AZ12" i="58"/>
  <c r="AH22" i="58"/>
  <c r="AZ21" i="58" s="1"/>
  <c r="D43" i="18"/>
  <c r="Y41" i="18" s="1"/>
  <c r="AQ41" i="18" s="1"/>
  <c r="H26" i="58"/>
  <c r="I29" i="58"/>
  <c r="O30" i="58"/>
  <c r="K25" i="58"/>
  <c r="K24" i="58"/>
  <c r="G126" i="58"/>
  <c r="H126" i="58"/>
  <c r="Y15" i="19"/>
  <c r="AQ15" i="19" s="1"/>
  <c r="F79" i="58"/>
  <c r="O82" i="58"/>
  <c r="M80" i="58"/>
  <c r="Q85" i="58"/>
  <c r="M82" i="58"/>
  <c r="G81" i="58"/>
  <c r="E81" i="58"/>
  <c r="J85" i="58"/>
  <c r="AD15" i="19"/>
  <c r="AV15" i="19" s="1"/>
  <c r="AM17" i="18"/>
  <c r="BE17" i="18" s="1"/>
  <c r="AA6" i="25"/>
  <c r="AS6" i="25" s="1"/>
  <c r="Z6" i="56"/>
  <c r="AR6" i="56" s="1"/>
  <c r="P31" i="56"/>
  <c r="AK32" i="56" s="1"/>
  <c r="BC32" i="56" s="1"/>
  <c r="BB12" i="58"/>
  <c r="M38" i="58"/>
  <c r="Q38" i="58"/>
  <c r="E41" i="58"/>
  <c r="J40" i="58"/>
  <c r="R39" i="58"/>
  <c r="F36" i="58"/>
  <c r="E35" i="58"/>
  <c r="Q40" i="58"/>
  <c r="Q37" i="58"/>
  <c r="G35" i="58"/>
  <c r="J41" i="58"/>
  <c r="E39" i="58"/>
  <c r="O35" i="58"/>
  <c r="F17" i="19"/>
  <c r="AA15" i="19" s="1"/>
  <c r="AS15" i="19" s="1"/>
  <c r="AA6" i="19"/>
  <c r="AS6" i="19" s="1"/>
  <c r="AC6" i="56"/>
  <c r="AU6" i="56" s="1"/>
  <c r="H17" i="56"/>
  <c r="H31" i="56" s="1"/>
  <c r="M31" i="55"/>
  <c r="AH15" i="55"/>
  <c r="AZ15" i="55" s="1"/>
  <c r="AG27" i="19"/>
  <c r="L54" i="19" s="1"/>
  <c r="AG27" i="56"/>
  <c r="AG29" i="18"/>
  <c r="L56" i="18" s="1"/>
  <c r="K41" i="58"/>
  <c r="K39" i="58"/>
  <c r="C83" i="58"/>
  <c r="K81" i="58"/>
  <c r="G80" i="58"/>
  <c r="M34" i="55"/>
  <c r="K37" i="55"/>
  <c r="R41" i="58"/>
  <c r="N74" i="58"/>
  <c r="F74" i="58"/>
  <c r="R40" i="58"/>
  <c r="N84" i="58"/>
  <c r="J84" i="58"/>
  <c r="F40" i="58"/>
  <c r="N39" i="58"/>
  <c r="J39" i="58"/>
  <c r="F39" i="58"/>
  <c r="R37" i="58"/>
  <c r="N81" i="58"/>
  <c r="J37" i="58"/>
  <c r="N80" i="58"/>
  <c r="J36" i="58"/>
  <c r="F80" i="58"/>
  <c r="L8" i="55"/>
  <c r="I9" i="55"/>
  <c r="D11" i="55"/>
  <c r="G13" i="55"/>
  <c r="Q9" i="55"/>
  <c r="G10" i="55"/>
  <c r="H7" i="55"/>
  <c r="C7" i="55"/>
  <c r="F9" i="55"/>
  <c r="P12" i="55"/>
  <c r="L13" i="55"/>
  <c r="D13" i="55"/>
  <c r="H10" i="55"/>
  <c r="M10" i="55"/>
  <c r="P10" i="55"/>
  <c r="I12" i="55"/>
  <c r="N13" i="55"/>
  <c r="G8" i="55"/>
  <c r="C13" i="55"/>
  <c r="L11" i="55"/>
  <c r="O10" i="55"/>
  <c r="J10" i="55"/>
  <c r="N7" i="55"/>
  <c r="R9" i="55"/>
  <c r="H11" i="55"/>
  <c r="N10" i="55"/>
  <c r="P9" i="55"/>
  <c r="Q8" i="19"/>
  <c r="Q10" i="19"/>
  <c r="N10" i="19"/>
  <c r="J10" i="19"/>
  <c r="J12" i="19"/>
  <c r="K10" i="19"/>
  <c r="H8" i="19"/>
  <c r="N11" i="19"/>
  <c r="D9" i="19"/>
  <c r="Q11" i="19"/>
  <c r="P11" i="19"/>
  <c r="H9" i="19"/>
  <c r="G10" i="19"/>
  <c r="N27" i="58"/>
  <c r="F28" i="58"/>
  <c r="I30" i="58"/>
  <c r="L25" i="58"/>
  <c r="F24" i="58"/>
  <c r="R27" i="58"/>
  <c r="J27" i="58"/>
  <c r="E29" i="58"/>
  <c r="E26" i="58"/>
  <c r="M28" i="58"/>
  <c r="P25" i="58"/>
  <c r="G27" i="58"/>
  <c r="M30" i="58"/>
  <c r="D28" i="58"/>
  <c r="I25" i="58"/>
  <c r="L27" i="58"/>
  <c r="L29" i="58"/>
  <c r="H25" i="58"/>
  <c r="Q25" i="58"/>
  <c r="I27" i="58"/>
  <c r="C26" i="58"/>
  <c r="I24" i="58"/>
  <c r="G30" i="58"/>
  <c r="Q24" i="58"/>
  <c r="K28" i="58"/>
  <c r="D26" i="58"/>
  <c r="L26" i="58"/>
  <c r="K29" i="58"/>
  <c r="E27" i="58"/>
  <c r="N24" i="58"/>
  <c r="R24" i="58"/>
  <c r="K27" i="58"/>
  <c r="H24" i="58"/>
  <c r="N28" i="58"/>
  <c r="H29" i="58"/>
  <c r="R29" i="58"/>
  <c r="M24" i="58"/>
  <c r="F30" i="58"/>
  <c r="Q26" i="58"/>
  <c r="E28" i="58"/>
  <c r="L30" i="58"/>
  <c r="R25" i="58"/>
  <c r="C28" i="58"/>
  <c r="H27" i="58"/>
  <c r="Q29" i="58"/>
  <c r="O26" i="58"/>
  <c r="J24" i="58"/>
  <c r="O25" i="58"/>
  <c r="P29" i="58"/>
  <c r="F29" i="58"/>
  <c r="L24" i="58"/>
  <c r="M29" i="58"/>
  <c r="F26" i="58"/>
  <c r="O28" i="58"/>
  <c r="D24" i="58"/>
  <c r="C25" i="58"/>
  <c r="P24" i="58"/>
  <c r="N30" i="58"/>
  <c r="G28" i="58"/>
  <c r="Q27" i="58"/>
  <c r="N29" i="58"/>
  <c r="N25" i="58"/>
  <c r="L28" i="58"/>
  <c r="I26" i="58"/>
  <c r="O29" i="58"/>
  <c r="K26" i="58"/>
  <c r="H28" i="58"/>
  <c r="D30" i="58"/>
  <c r="F25" i="58"/>
  <c r="J29" i="58"/>
  <c r="D27" i="58"/>
  <c r="J30" i="58"/>
  <c r="F27" i="58"/>
  <c r="O27" i="58"/>
  <c r="M25" i="58"/>
  <c r="R30" i="58"/>
  <c r="N26" i="58"/>
  <c r="Q28" i="58"/>
  <c r="C24" i="58"/>
  <c r="C29" i="58"/>
  <c r="G26" i="58"/>
  <c r="P27" i="58"/>
  <c r="M26" i="58"/>
  <c r="J121" i="99"/>
  <c r="K92" i="98"/>
  <c r="I92" i="98"/>
  <c r="K16" i="98"/>
  <c r="L16" i="98" s="1"/>
  <c r="L106" i="98"/>
  <c r="N73" i="98"/>
  <c r="H93" i="98"/>
  <c r="N90" i="98"/>
  <c r="J106" i="98"/>
  <c r="J27" i="98"/>
  <c r="O90" i="99"/>
  <c r="H107" i="99"/>
  <c r="L105" i="99"/>
  <c r="I124" i="99"/>
  <c r="J13" i="99"/>
  <c r="H105" i="99"/>
  <c r="H108" i="99" s="1"/>
  <c r="K14" i="98"/>
  <c r="J15" i="98"/>
  <c r="I30" i="98"/>
  <c r="J29" i="98"/>
  <c r="I11" i="98"/>
  <c r="I15" i="98"/>
  <c r="H30" i="98"/>
  <c r="I6" i="98"/>
  <c r="M92" i="98"/>
  <c r="H15" i="98"/>
  <c r="I27" i="98"/>
  <c r="L92" i="98"/>
  <c r="L94" i="98" s="1"/>
  <c r="L123" i="98" s="1"/>
  <c r="K93" i="98"/>
  <c r="K94" i="98" s="1"/>
  <c r="K123" i="98" s="1"/>
  <c r="J92" i="98"/>
  <c r="L104" i="98"/>
  <c r="O59" i="98"/>
  <c r="N84" i="98"/>
  <c r="N122" i="98" s="1"/>
  <c r="N78" i="98"/>
  <c r="N119" i="98" s="1"/>
  <c r="N68" i="98"/>
  <c r="N118" i="98" s="1"/>
  <c r="N51" i="98"/>
  <c r="N116" i="98" s="1"/>
  <c r="H104" i="98"/>
  <c r="I33" i="98"/>
  <c r="L12" i="99"/>
  <c r="L13" i="99" s="1"/>
  <c r="K13" i="99"/>
  <c r="I155" i="99"/>
  <c r="I100" i="99"/>
  <c r="N85" i="99"/>
  <c r="N89" i="99"/>
  <c r="M91" i="99"/>
  <c r="J29" i="99"/>
  <c r="I13" i="99"/>
  <c r="L107" i="99"/>
  <c r="I104" i="99"/>
  <c r="J20" i="99"/>
  <c r="K20" i="99" s="1"/>
  <c r="I92" i="99"/>
  <c r="I125" i="99" s="1"/>
  <c r="N25" i="99"/>
  <c r="I18" i="99"/>
  <c r="J18" i="99" s="1"/>
  <c r="I31" i="99"/>
  <c r="H13" i="99"/>
  <c r="I6" i="103"/>
  <c r="I7" i="103" s="1"/>
  <c r="J18" i="103"/>
  <c r="J19" i="103" s="1"/>
  <c r="H100" i="103"/>
  <c r="H101" i="103" s="1"/>
  <c r="I15" i="103"/>
  <c r="J98" i="103"/>
  <c r="H15" i="103"/>
  <c r="I100" i="103"/>
  <c r="H13" i="103"/>
  <c r="J6" i="103"/>
  <c r="J7" i="103" s="1"/>
  <c r="J12" i="103"/>
  <c r="J13" i="103" s="1"/>
  <c r="K18" i="103"/>
  <c r="H113" i="103"/>
  <c r="H32" i="103"/>
  <c r="AC30" i="18"/>
  <c r="AB30" i="18"/>
  <c r="AB28" i="19"/>
  <c r="AB28" i="55"/>
  <c r="AC29" i="18"/>
  <c r="AD88" i="58"/>
  <c r="E116" i="58" s="1"/>
  <c r="R52" i="19"/>
  <c r="AM48" i="19" s="1"/>
  <c r="AM39" i="19"/>
  <c r="BE39" i="19" s="1"/>
  <c r="AM15" i="19"/>
  <c r="BE15" i="19" s="1"/>
  <c r="AM32" i="19"/>
  <c r="BE32" i="19" s="1"/>
  <c r="AM6" i="19"/>
  <c r="BE6" i="19" s="1"/>
  <c r="R17" i="25"/>
  <c r="AM16" i="25" s="1"/>
  <c r="BE15" i="25" s="1"/>
  <c r="Q41" i="55"/>
  <c r="Q52" i="55" s="1"/>
  <c r="AL48" i="55" s="1"/>
  <c r="AL15" i="55"/>
  <c r="BD15" i="55" s="1"/>
  <c r="AL8" i="18"/>
  <c r="BD8" i="18" s="1"/>
  <c r="AL22" i="58"/>
  <c r="BD21" i="58" s="1"/>
  <c r="Q17" i="19"/>
  <c r="AJ6" i="55"/>
  <c r="BB6" i="55" s="1"/>
  <c r="AI6" i="19"/>
  <c r="BA6" i="19" s="1"/>
  <c r="N17" i="25"/>
  <c r="N31" i="25" s="1"/>
  <c r="AI32" i="25" s="1"/>
  <c r="BA32" i="25" s="1"/>
  <c r="M124" i="58"/>
  <c r="AH109" i="58" s="1"/>
  <c r="J124" i="58"/>
  <c r="AE109" i="58" s="1"/>
  <c r="E31" i="56"/>
  <c r="Z32" i="56" s="1"/>
  <c r="AR32" i="56" s="1"/>
  <c r="Z15" i="56"/>
  <c r="AR15" i="56" s="1"/>
  <c r="X15" i="55"/>
  <c r="AP15" i="55" s="1"/>
  <c r="X6" i="25"/>
  <c r="AP6" i="25" s="1"/>
  <c r="X16" i="25"/>
  <c r="AP15" i="25" s="1"/>
  <c r="C17" i="56"/>
  <c r="X15" i="56" s="1"/>
  <c r="AP15" i="56" s="1"/>
  <c r="J15" i="99"/>
  <c r="K14" i="99"/>
  <c r="K15" i="99" s="1"/>
  <c r="I19" i="18"/>
  <c r="AD8" i="18"/>
  <c r="AV8" i="18" s="1"/>
  <c r="O70" i="98"/>
  <c r="H38" i="98"/>
  <c r="I37" i="98"/>
  <c r="H19" i="98"/>
  <c r="I18" i="98"/>
  <c r="J8" i="99"/>
  <c r="I9" i="99"/>
  <c r="F10" i="19"/>
  <c r="O12" i="19"/>
  <c r="N7" i="19"/>
  <c r="F13" i="19"/>
  <c r="O9" i="19"/>
  <c r="I9" i="19"/>
  <c r="M12" i="19"/>
  <c r="J11" i="19"/>
  <c r="Q9" i="19"/>
  <c r="J13" i="19"/>
  <c r="F11" i="19"/>
  <c r="K7" i="19"/>
  <c r="N9" i="19"/>
  <c r="N8" i="19"/>
  <c r="N72" i="58"/>
  <c r="R74" i="58"/>
  <c r="J73" i="58"/>
  <c r="F69" i="58"/>
  <c r="R68" i="58"/>
  <c r="F84" i="58"/>
  <c r="J83" i="58"/>
  <c r="J80" i="58"/>
  <c r="R84" i="58"/>
  <c r="O48" i="98"/>
  <c r="E44" i="93"/>
  <c r="E46" i="93" s="1"/>
  <c r="K20" i="98"/>
  <c r="J23" i="98"/>
  <c r="AD22" i="58"/>
  <c r="AV21" i="58" s="1"/>
  <c r="AV12" i="58"/>
  <c r="AR12" i="58"/>
  <c r="Z22" i="58"/>
  <c r="AR21" i="58" s="1"/>
  <c r="H21" i="70"/>
  <c r="H42" i="70"/>
  <c r="E21" i="70"/>
  <c r="E12" i="70"/>
  <c r="K12" i="70"/>
  <c r="H38" i="70"/>
  <c r="K18" i="70"/>
  <c r="H26" i="70"/>
  <c r="E17" i="70"/>
  <c r="AK8" i="18"/>
  <c r="BC8" i="18" s="1"/>
  <c r="P19" i="18"/>
  <c r="P33" i="18" s="1"/>
  <c r="E18" i="93"/>
  <c r="E9" i="93"/>
  <c r="K19" i="93"/>
  <c r="E39" i="93"/>
  <c r="H9" i="93"/>
  <c r="E27" i="93"/>
  <c r="H27" i="93"/>
  <c r="H32" i="93" s="1"/>
  <c r="H34" i="93" s="1"/>
  <c r="K9" i="93"/>
  <c r="K15" i="93" s="1"/>
  <c r="K17" i="93" s="1"/>
  <c r="N62" i="98"/>
  <c r="N117" i="98" s="1"/>
  <c r="J99" i="98"/>
  <c r="K99" i="98" s="1"/>
  <c r="L99" i="98" s="1"/>
  <c r="M99" i="98" s="1"/>
  <c r="K26" i="98"/>
  <c r="I27" i="99"/>
  <c r="J24" i="99"/>
  <c r="J27" i="99" s="1"/>
  <c r="AI15" i="55"/>
  <c r="BA15" i="55" s="1"/>
  <c r="N31" i="55"/>
  <c r="N41" i="55" s="1"/>
  <c r="N52" i="55" s="1"/>
  <c r="AI48" i="55" s="1"/>
  <c r="E13" i="19"/>
  <c r="L13" i="19"/>
  <c r="F9" i="19"/>
  <c r="P10" i="19"/>
  <c r="J8" i="19"/>
  <c r="L10" i="19"/>
  <c r="F73" i="58"/>
  <c r="N70" i="58"/>
  <c r="F72" i="58"/>
  <c r="J69" i="58"/>
  <c r="R70" i="58"/>
  <c r="I15" i="99"/>
  <c r="R35" i="58"/>
  <c r="F83" i="58"/>
  <c r="R79" i="58"/>
  <c r="Y52" i="55"/>
  <c r="AK6" i="19"/>
  <c r="BC6" i="19" s="1"/>
  <c r="P17" i="19"/>
  <c r="AM34" i="18"/>
  <c r="BE34" i="18" s="1"/>
  <c r="R43" i="18"/>
  <c r="E38" i="93"/>
  <c r="K18" i="93"/>
  <c r="H8" i="93"/>
  <c r="H14" i="93" s="1"/>
  <c r="H16" i="93" s="1"/>
  <c r="B14" i="93"/>
  <c r="B16" i="93" s="1"/>
  <c r="E26" i="93"/>
  <c r="E32" i="93" s="1"/>
  <c r="E34" i="93" s="1"/>
  <c r="E17" i="93"/>
  <c r="H17" i="93"/>
  <c r="H23" i="93" s="1"/>
  <c r="H25" i="93" s="1"/>
  <c r="I105" i="99"/>
  <c r="I121" i="99"/>
  <c r="N60" i="99"/>
  <c r="N119" i="99" s="1"/>
  <c r="W2" i="55"/>
  <c r="G23" i="55" s="1"/>
  <c r="BE12" i="58"/>
  <c r="AM22" i="58"/>
  <c r="BE21" i="58" s="1"/>
  <c r="M119" i="98"/>
  <c r="M104" i="98"/>
  <c r="K13" i="19"/>
  <c r="K9" i="19"/>
  <c r="L9" i="19"/>
  <c r="O10" i="19"/>
  <c r="H10" i="19"/>
  <c r="F8" i="19"/>
  <c r="R7" i="19"/>
  <c r="AM5" i="19" s="1"/>
  <c r="O13" i="19"/>
  <c r="E7" i="19"/>
  <c r="G13" i="19"/>
  <c r="R12" i="19"/>
  <c r="H13" i="19"/>
  <c r="D10" i="19"/>
  <c r="R13" i="19"/>
  <c r="C11" i="19"/>
  <c r="R8" i="19"/>
  <c r="M10" i="19"/>
  <c r="O11" i="19"/>
  <c r="J7" i="19"/>
  <c r="J72" i="58"/>
  <c r="AB5" i="55"/>
  <c r="O75" i="98"/>
  <c r="C17" i="19"/>
  <c r="C31" i="19" s="1"/>
  <c r="X6" i="19"/>
  <c r="AP6" i="19" s="1"/>
  <c r="AG6" i="56"/>
  <c r="AY6" i="56" s="1"/>
  <c r="L17" i="56"/>
  <c r="K17" i="55"/>
  <c r="K31" i="55" s="1"/>
  <c r="AF6" i="55"/>
  <c r="AX6" i="55" s="1"/>
  <c r="AB6" i="55"/>
  <c r="AT6" i="55" s="1"/>
  <c r="G17" i="55"/>
  <c r="K122" i="98"/>
  <c r="K106" i="98"/>
  <c r="O81" i="98"/>
  <c r="J96" i="98"/>
  <c r="K96" i="98" s="1"/>
  <c r="L96" i="98" s="1"/>
  <c r="M96" i="98" s="1"/>
  <c r="N96" i="98" s="1"/>
  <c r="I100" i="98"/>
  <c r="M119" i="99"/>
  <c r="O60" i="99"/>
  <c r="K91" i="99"/>
  <c r="N86" i="99"/>
  <c r="H39" i="99"/>
  <c r="I37" i="103"/>
  <c r="J37" i="103" s="1"/>
  <c r="K37" i="103" s="1"/>
  <c r="H38" i="103"/>
  <c r="L113" i="103"/>
  <c r="L98" i="103"/>
  <c r="N51" i="103"/>
  <c r="N110" i="103" s="1"/>
  <c r="O51" i="103"/>
  <c r="E14" i="93"/>
  <c r="E16" i="93" s="1"/>
  <c r="E23" i="93"/>
  <c r="E25" i="93" s="1"/>
  <c r="F19" i="74"/>
  <c r="J104" i="98"/>
  <c r="H106" i="98"/>
  <c r="J24" i="103"/>
  <c r="N68" i="103"/>
  <c r="N112" i="103" s="1"/>
  <c r="E129" i="103"/>
  <c r="E134" i="98"/>
  <c r="H38" i="99"/>
  <c r="F126" i="58"/>
  <c r="AH29" i="18"/>
  <c r="AH27" i="56"/>
  <c r="P126" i="58"/>
  <c r="L126" i="58"/>
  <c r="AH27" i="55"/>
  <c r="Q54" i="55" s="1"/>
  <c r="Q126" i="58"/>
  <c r="K126" i="58"/>
  <c r="H17" i="103"/>
  <c r="I16" i="103"/>
  <c r="M98" i="103"/>
  <c r="M113" i="103"/>
  <c r="K116" i="103"/>
  <c r="K100" i="103"/>
  <c r="AC32" i="19"/>
  <c r="AU32" i="19" s="1"/>
  <c r="K17" i="98"/>
  <c r="AD32" i="25"/>
  <c r="AV32" i="25" s="1"/>
  <c r="I41" i="25"/>
  <c r="I52" i="25" s="1"/>
  <c r="AD48" i="25" s="1"/>
  <c r="AG50" i="25"/>
  <c r="K10" i="98"/>
  <c r="J92" i="99"/>
  <c r="J125" i="99" s="1"/>
  <c r="J100" i="99"/>
  <c r="AG51" i="19"/>
  <c r="Y49" i="19"/>
  <c r="AC49" i="25"/>
  <c r="AI49" i="25"/>
  <c r="AE111" i="58"/>
  <c r="O54" i="19"/>
  <c r="P17" i="25"/>
  <c r="AK6" i="25"/>
  <c r="BC6" i="25" s="1"/>
  <c r="L17" i="25"/>
  <c r="AG6" i="25"/>
  <c r="AY6" i="25" s="1"/>
  <c r="D17" i="25"/>
  <c r="Y6" i="25"/>
  <c r="AQ6" i="25" s="1"/>
  <c r="M17" i="19"/>
  <c r="AH6" i="19"/>
  <c r="AZ6" i="19" s="1"/>
  <c r="AG6" i="55"/>
  <c r="AY6" i="55" s="1"/>
  <c r="L17" i="55"/>
  <c r="M124" i="99"/>
  <c r="M107" i="99"/>
  <c r="J48" i="99"/>
  <c r="J49" i="99" s="1"/>
  <c r="J118" i="99" s="1"/>
  <c r="I49" i="99"/>
  <c r="I118" i="99" s="1"/>
  <c r="H36" i="99"/>
  <c r="I35" i="99"/>
  <c r="J35" i="99" s="1"/>
  <c r="H40" i="99"/>
  <c r="H17" i="99"/>
  <c r="I16" i="99"/>
  <c r="BC11" i="58"/>
  <c r="P79" i="58"/>
  <c r="P35" i="58"/>
  <c r="V2" i="25"/>
  <c r="W3" i="58"/>
  <c r="P46" i="58" s="1"/>
  <c r="L49" i="58"/>
  <c r="W7" i="58"/>
  <c r="H96" i="58" s="1"/>
  <c r="F96" i="58"/>
  <c r="R94" i="58"/>
  <c r="P95" i="58"/>
  <c r="N96" i="58"/>
  <c r="H90" i="58"/>
  <c r="N90" i="58"/>
  <c r="K90" i="58"/>
  <c r="M94" i="58"/>
  <c r="H110" i="103"/>
  <c r="J21" i="103"/>
  <c r="I43" i="103"/>
  <c r="I115" i="103" s="1"/>
  <c r="Q118" i="58"/>
  <c r="AD27" i="19"/>
  <c r="D43" i="19" s="1"/>
  <c r="M115" i="58"/>
  <c r="I117" i="58"/>
  <c r="I119" i="58"/>
  <c r="C116" i="58"/>
  <c r="K119" i="58"/>
  <c r="R119" i="58"/>
  <c r="F115" i="58"/>
  <c r="C117" i="58"/>
  <c r="Q54" i="19"/>
  <c r="M12" i="99"/>
  <c r="M13" i="99" s="1"/>
  <c r="K19" i="103"/>
  <c r="L18" i="103"/>
  <c r="L19" i="103" s="1"/>
  <c r="AK17" i="18"/>
  <c r="BC17" i="18" s="1"/>
  <c r="R115" i="58"/>
  <c r="G115" i="58"/>
  <c r="J167" i="99"/>
  <c r="N167" i="99" s="1"/>
  <c r="K31" i="103"/>
  <c r="J32" i="103"/>
  <c r="AC6" i="25"/>
  <c r="AU6" i="25" s="1"/>
  <c r="AA17" i="18"/>
  <c r="AS17" i="18" s="1"/>
  <c r="F33" i="18"/>
  <c r="R52" i="58"/>
  <c r="M12" i="55"/>
  <c r="D8" i="55"/>
  <c r="C10" i="55"/>
  <c r="Q7" i="55"/>
  <c r="Q10" i="55"/>
  <c r="O7" i="55"/>
  <c r="N8" i="55"/>
  <c r="D12" i="55"/>
  <c r="N12" i="55"/>
  <c r="E11" i="55"/>
  <c r="D9" i="55"/>
  <c r="M7" i="55"/>
  <c r="AH5" i="55" s="1"/>
  <c r="O11" i="55"/>
  <c r="G11" i="55"/>
  <c r="D7" i="55"/>
  <c r="I13" i="55"/>
  <c r="R8" i="55"/>
  <c r="E8" i="55"/>
  <c r="J12" i="55"/>
  <c r="I7" i="55"/>
  <c r="AC5" i="55" s="1"/>
  <c r="G12" i="55"/>
  <c r="E10" i="55"/>
  <c r="K7" i="55"/>
  <c r="E13" i="55"/>
  <c r="F12" i="55"/>
  <c r="M8" i="55"/>
  <c r="E12" i="55"/>
  <c r="H12" i="55"/>
  <c r="F10" i="55"/>
  <c r="O13" i="55"/>
  <c r="O8" i="55"/>
  <c r="M13" i="55"/>
  <c r="C9" i="55"/>
  <c r="O9" i="55"/>
  <c r="C8" i="55"/>
  <c r="G9" i="55"/>
  <c r="J11" i="55"/>
  <c r="P11" i="55"/>
  <c r="H13" i="55"/>
  <c r="K12" i="55"/>
  <c r="L10" i="55"/>
  <c r="K13" i="55"/>
  <c r="P13" i="55"/>
  <c r="I8" i="55"/>
  <c r="Q8" i="55"/>
  <c r="J8" i="55"/>
  <c r="R13" i="55"/>
  <c r="K8" i="55"/>
  <c r="K11" i="55"/>
  <c r="D10" i="55"/>
  <c r="E9" i="55"/>
  <c r="J10" i="99"/>
  <c r="I11" i="99"/>
  <c r="E92" i="58"/>
  <c r="J38" i="99"/>
  <c r="K37" i="99"/>
  <c r="C41" i="55"/>
  <c r="C52" i="55" s="1"/>
  <c r="X48" i="55" s="1"/>
  <c r="P41" i="56"/>
  <c r="P52" i="56" s="1"/>
  <c r="AK48" i="56" s="1"/>
  <c r="D41" i="19"/>
  <c r="Y32" i="19"/>
  <c r="AQ32" i="19" s="1"/>
  <c r="D118" i="58"/>
  <c r="D115" i="58"/>
  <c r="K115" i="58"/>
  <c r="O12" i="55"/>
  <c r="Q11" i="55"/>
  <c r="R10" i="55"/>
  <c r="J9" i="55"/>
  <c r="P7" i="55"/>
  <c r="AJ5" i="55" s="1"/>
  <c r="L9" i="55"/>
  <c r="K10" i="55"/>
  <c r="H8" i="55"/>
  <c r="R11" i="55"/>
  <c r="Q12" i="55"/>
  <c r="E7" i="55"/>
  <c r="Z5" i="55" s="1"/>
  <c r="C11" i="55"/>
  <c r="M11" i="55"/>
  <c r="M11" i="19"/>
  <c r="R11" i="19"/>
  <c r="N13" i="19"/>
  <c r="E11" i="19"/>
  <c r="C10" i="19"/>
  <c r="G7" i="19"/>
  <c r="D12" i="19"/>
  <c r="P8" i="19"/>
  <c r="K12" i="19"/>
  <c r="D13" i="19"/>
  <c r="L11" i="19"/>
  <c r="I10" i="19"/>
  <c r="K11" i="19"/>
  <c r="Q7" i="19"/>
  <c r="N12" i="19"/>
  <c r="F7" i="19"/>
  <c r="Z5" i="19" s="1"/>
  <c r="C9" i="19"/>
  <c r="C7" i="19"/>
  <c r="R9" i="19"/>
  <c r="G11" i="19"/>
  <c r="D11" i="19"/>
  <c r="M8" i="19"/>
  <c r="Q12" i="19"/>
  <c r="C12" i="19"/>
  <c r="I11" i="19"/>
  <c r="D8" i="19"/>
  <c r="G9" i="19"/>
  <c r="C8" i="19"/>
  <c r="O8" i="19"/>
  <c r="R10" i="19"/>
  <c r="F12" i="19"/>
  <c r="C13" i="19"/>
  <c r="O7" i="19"/>
  <c r="L7" i="19"/>
  <c r="AF5" i="19" s="1"/>
  <c r="G8" i="19"/>
  <c r="J9" i="19"/>
  <c r="H12" i="19"/>
  <c r="P7" i="19"/>
  <c r="L8" i="19"/>
  <c r="E10" i="19"/>
  <c r="I7" i="19"/>
  <c r="AD5" i="19" s="1"/>
  <c r="L12" i="19"/>
  <c r="I12" i="19"/>
  <c r="G12" i="19"/>
  <c r="H11" i="19"/>
  <c r="P9" i="19"/>
  <c r="M7" i="19"/>
  <c r="P13" i="19"/>
  <c r="M13" i="19"/>
  <c r="N97" i="98"/>
  <c r="E41" i="55"/>
  <c r="E52" i="55" s="1"/>
  <c r="Z48" i="55" s="1"/>
  <c r="Z32" i="55"/>
  <c r="AR32" i="55" s="1"/>
  <c r="G93" i="58"/>
  <c r="Q31" i="56"/>
  <c r="AL15" i="56"/>
  <c r="BD15" i="56" s="1"/>
  <c r="H83" i="58"/>
  <c r="D81" i="58"/>
  <c r="O84" i="58"/>
  <c r="K82" i="58"/>
  <c r="Q79" i="58"/>
  <c r="R83" i="58"/>
  <c r="J81" i="58"/>
  <c r="H85" i="58"/>
  <c r="E85" i="58"/>
  <c r="N83" i="58"/>
  <c r="C81" i="58"/>
  <c r="E84" i="58"/>
  <c r="N79" i="58"/>
  <c r="K79" i="58"/>
  <c r="D84" i="58"/>
  <c r="N85" i="58"/>
  <c r="G83" i="58"/>
  <c r="K84" i="58"/>
  <c r="C84" i="58"/>
  <c r="D80" i="58"/>
  <c r="R82" i="58"/>
  <c r="Q84" i="58"/>
  <c r="I81" i="58"/>
  <c r="F82" i="58"/>
  <c r="O81" i="58"/>
  <c r="O80" i="58"/>
  <c r="D83" i="58"/>
  <c r="L83" i="58"/>
  <c r="R80" i="58"/>
  <c r="Q81" i="58"/>
  <c r="Q82" i="58"/>
  <c r="H84" i="58"/>
  <c r="L80" i="58"/>
  <c r="I84" i="58"/>
  <c r="L79" i="58"/>
  <c r="V2" i="18"/>
  <c r="BA5" i="55"/>
  <c r="N18" i="55"/>
  <c r="AI49" i="55"/>
  <c r="N33" i="55"/>
  <c r="E26" i="70"/>
  <c r="H17" i="70"/>
  <c r="H8" i="70"/>
  <c r="E8" i="70"/>
  <c r="L124" i="58"/>
  <c r="AG109" i="58" s="1"/>
  <c r="AG101" i="58"/>
  <c r="AY100" i="58" s="1"/>
  <c r="O17" i="25"/>
  <c r="AJ6" i="25"/>
  <c r="BB6" i="25" s="1"/>
  <c r="AJ6" i="56"/>
  <c r="BB6" i="56" s="1"/>
  <c r="O17" i="56"/>
  <c r="AM6" i="55"/>
  <c r="BE6" i="55" s="1"/>
  <c r="R17" i="55"/>
  <c r="I12" i="98"/>
  <c r="H13" i="98"/>
  <c r="K47" i="99"/>
  <c r="H34" i="99"/>
  <c r="I33" i="99"/>
  <c r="N88" i="99"/>
  <c r="I6" i="99"/>
  <c r="H7" i="99"/>
  <c r="M126" i="58"/>
  <c r="E79" i="58"/>
  <c r="R34" i="55"/>
  <c r="H37" i="55"/>
  <c r="I33" i="55"/>
  <c r="J37" i="55"/>
  <c r="C34" i="55"/>
  <c r="N38" i="58"/>
  <c r="H39" i="58"/>
  <c r="C39" i="58"/>
  <c r="K38" i="58"/>
  <c r="K40" i="58"/>
  <c r="E37" i="58"/>
  <c r="F41" i="58"/>
  <c r="F37" i="58"/>
  <c r="P36" i="58"/>
  <c r="N41" i="58"/>
  <c r="G37" i="58"/>
  <c r="N40" i="58"/>
  <c r="N36" i="58"/>
  <c r="H41" i="58"/>
  <c r="I36" i="58"/>
  <c r="O39" i="58"/>
  <c r="L39" i="58"/>
  <c r="N37" i="58"/>
  <c r="D22" i="55"/>
  <c r="K21" i="55"/>
  <c r="F18" i="55"/>
  <c r="C23" i="55"/>
  <c r="D23" i="55"/>
  <c r="Q21" i="55"/>
  <c r="C21" i="55"/>
  <c r="O24" i="55"/>
  <c r="L24" i="55"/>
  <c r="K33" i="55"/>
  <c r="Y51" i="55"/>
  <c r="L93" i="103"/>
  <c r="N88" i="103"/>
  <c r="AL15" i="19"/>
  <c r="BD15" i="19" s="1"/>
  <c r="Q31" i="19"/>
  <c r="AA6" i="55"/>
  <c r="AS6" i="55" s="1"/>
  <c r="F17" i="55"/>
  <c r="K27" i="98"/>
  <c r="L24" i="98"/>
  <c r="H92" i="98"/>
  <c r="N87" i="98"/>
  <c r="N92" i="98" s="1"/>
  <c r="H118" i="98"/>
  <c r="O118" i="98" s="1"/>
  <c r="O65" i="98"/>
  <c r="I35" i="98"/>
  <c r="H40" i="98"/>
  <c r="H36" i="98"/>
  <c r="H39" i="98"/>
  <c r="I43" i="98"/>
  <c r="I121" i="98" s="1"/>
  <c r="J21" i="98"/>
  <c r="A15" i="101"/>
  <c r="K41" i="100"/>
  <c r="L41" i="100" s="1"/>
  <c r="K17" i="100"/>
  <c r="L17" i="100" s="1"/>
  <c r="K7" i="100"/>
  <c r="L7" i="100" s="1"/>
  <c r="D7" i="100"/>
  <c r="L11" i="100"/>
  <c r="L22" i="100"/>
  <c r="L45" i="100"/>
  <c r="H30" i="103"/>
  <c r="H40" i="103"/>
  <c r="I29" i="103"/>
  <c r="H44" i="93"/>
  <c r="H46" i="93" s="1"/>
  <c r="Q13" i="19"/>
  <c r="I13" i="19"/>
  <c r="E12" i="19"/>
  <c r="M9" i="19"/>
  <c r="E9" i="19"/>
  <c r="I8" i="19"/>
  <c r="E8" i="19"/>
  <c r="G17" i="19"/>
  <c r="G31" i="19" s="1"/>
  <c r="AB32" i="19" s="1"/>
  <c r="AT32" i="19" s="1"/>
  <c r="AB6" i="19"/>
  <c r="AT6" i="19" s="1"/>
  <c r="AD6" i="55"/>
  <c r="AV6" i="55" s="1"/>
  <c r="I17" i="55"/>
  <c r="N88" i="98"/>
  <c r="J93" i="98"/>
  <c r="I120" i="99"/>
  <c r="O120" i="99" s="1"/>
  <c r="O66" i="99"/>
  <c r="J100" i="103"/>
  <c r="J116" i="103"/>
  <c r="P23" i="100"/>
  <c r="L31" i="19"/>
  <c r="O117" i="98"/>
  <c r="H34" i="103"/>
  <c r="I33" i="103"/>
  <c r="O73" i="103"/>
  <c r="K98" i="103"/>
  <c r="K113" i="103"/>
  <c r="F20" i="55"/>
  <c r="F23" i="55"/>
  <c r="R24" i="55"/>
  <c r="E17" i="25"/>
  <c r="Z16" i="25" s="1"/>
  <c r="AR15" i="25" s="1"/>
  <c r="Z6" i="25"/>
  <c r="AR6" i="25" s="1"/>
  <c r="H11" i="103"/>
  <c r="I10" i="103"/>
  <c r="H36" i="103"/>
  <c r="I35" i="103"/>
  <c r="O111" i="103"/>
  <c r="N73" i="103"/>
  <c r="J92" i="103"/>
  <c r="H93" i="103"/>
  <c r="H94" i="103" s="1"/>
  <c r="H117" i="103" s="1"/>
  <c r="N71" i="99"/>
  <c r="AG8" i="18"/>
  <c r="AY8" i="18" s="1"/>
  <c r="N91" i="98"/>
  <c r="I106" i="98"/>
  <c r="O119" i="99"/>
  <c r="N82" i="99"/>
  <c r="N124" i="99" s="1"/>
  <c r="I94" i="103"/>
  <c r="I117" i="103" s="1"/>
  <c r="L91" i="99"/>
  <c r="N62" i="103"/>
  <c r="N111" i="103" s="1"/>
  <c r="N78" i="103"/>
  <c r="N113" i="103" s="1"/>
  <c r="N84" i="103"/>
  <c r="N116" i="103" s="1"/>
  <c r="N90" i="103"/>
  <c r="O71" i="99"/>
  <c r="J54" i="19"/>
  <c r="E126" i="58"/>
  <c r="N126" i="58"/>
  <c r="I126" i="58"/>
  <c r="AH27" i="25"/>
  <c r="E54" i="25" s="1"/>
  <c r="AM15" i="56"/>
  <c r="BE15" i="56" s="1"/>
  <c r="R31" i="56"/>
  <c r="AM32" i="56" s="1"/>
  <c r="BE32" i="56" s="1"/>
  <c r="AM101" i="58"/>
  <c r="BE100" i="58" s="1"/>
  <c r="AL16" i="25"/>
  <c r="BD15" i="25" s="1"/>
  <c r="Q31" i="25"/>
  <c r="AL17" i="18"/>
  <c r="BD17" i="18" s="1"/>
  <c r="Q33" i="18"/>
  <c r="AL39" i="55"/>
  <c r="BD39" i="55" s="1"/>
  <c r="AL101" i="58"/>
  <c r="BD100" i="58" s="1"/>
  <c r="AL6" i="25"/>
  <c r="BD6" i="25" s="1"/>
  <c r="P31" i="55"/>
  <c r="AK15" i="55"/>
  <c r="BC15" i="55" s="1"/>
  <c r="AJ15" i="55"/>
  <c r="BB15" i="55" s="1"/>
  <c r="O31" i="55"/>
  <c r="AJ17" i="18"/>
  <c r="BB17" i="18" s="1"/>
  <c r="O33" i="18"/>
  <c r="O43" i="18" s="1"/>
  <c r="O17" i="19"/>
  <c r="AI15" i="19"/>
  <c r="BA15" i="19" s="1"/>
  <c r="N31" i="19"/>
  <c r="N33" i="18"/>
  <c r="AI17" i="18"/>
  <c r="BA17" i="18" s="1"/>
  <c r="AI39" i="55"/>
  <c r="BA39" i="55" s="1"/>
  <c r="N31" i="56"/>
  <c r="N124" i="58"/>
  <c r="AI109" i="58" s="1"/>
  <c r="AH17" i="18"/>
  <c r="AZ17" i="18" s="1"/>
  <c r="M33" i="18"/>
  <c r="M31" i="56"/>
  <c r="M41" i="56" s="1"/>
  <c r="AG16" i="25"/>
  <c r="AY15" i="25" s="1"/>
  <c r="L31" i="25"/>
  <c r="L33" i="18"/>
  <c r="AG17" i="18"/>
  <c r="AY17" i="18" s="1"/>
  <c r="AF32" i="56"/>
  <c r="AX32" i="56" s="1"/>
  <c r="K41" i="56"/>
  <c r="AF15" i="19"/>
  <c r="AX15" i="19" s="1"/>
  <c r="K31" i="19"/>
  <c r="AF17" i="18"/>
  <c r="AX17" i="18" s="1"/>
  <c r="AF15" i="56"/>
  <c r="AX15" i="56" s="1"/>
  <c r="K17" i="25"/>
  <c r="K124" i="58"/>
  <c r="AF109" i="58" s="1"/>
  <c r="J31" i="55"/>
  <c r="AE15" i="55"/>
  <c r="AW15" i="55" s="1"/>
  <c r="J31" i="56"/>
  <c r="I41" i="19"/>
  <c r="AD32" i="19"/>
  <c r="AV32" i="19" s="1"/>
  <c r="I31" i="56"/>
  <c r="AD101" i="58"/>
  <c r="AV100" i="58" s="1"/>
  <c r="AC39" i="19"/>
  <c r="AU39" i="19" s="1"/>
  <c r="G31" i="25"/>
  <c r="AB16" i="25"/>
  <c r="AT15" i="25" s="1"/>
  <c r="AB15" i="56"/>
  <c r="AT15" i="56" s="1"/>
  <c r="G31" i="56"/>
  <c r="AB6" i="56"/>
  <c r="AT6" i="56" s="1"/>
  <c r="AB6" i="25"/>
  <c r="AT6" i="25" s="1"/>
  <c r="F31" i="19"/>
  <c r="AA32" i="25"/>
  <c r="AS32" i="25" s="1"/>
  <c r="E31" i="25"/>
  <c r="E41" i="25" s="1"/>
  <c r="Z41" i="18"/>
  <c r="AR41" i="18" s="1"/>
  <c r="E54" i="18"/>
  <c r="Z50" i="18" s="1"/>
  <c r="Z34" i="18"/>
  <c r="AR34" i="18" s="1"/>
  <c r="Z8" i="18"/>
  <c r="AR8" i="18" s="1"/>
  <c r="X15" i="19"/>
  <c r="AP15" i="19" s="1"/>
  <c r="X41" i="18"/>
  <c r="AP41" i="18" s="1"/>
  <c r="AP12" i="58"/>
  <c r="C41" i="25"/>
  <c r="C52" i="25" s="1"/>
  <c r="X48" i="25" s="1"/>
  <c r="X34" i="18"/>
  <c r="AP34" i="18" s="1"/>
  <c r="R54" i="19"/>
  <c r="O54" i="55"/>
  <c r="F54" i="56"/>
  <c r="F54" i="19"/>
  <c r="C54" i="56"/>
  <c r="D35" i="100"/>
  <c r="D37" i="100" s="1"/>
  <c r="N107" i="58"/>
  <c r="M108" i="58"/>
  <c r="J109" i="58"/>
  <c r="D108" i="58"/>
  <c r="Q108" i="58"/>
  <c r="K105" i="58"/>
  <c r="F109" i="58"/>
  <c r="F105" i="58"/>
  <c r="L105" i="58"/>
  <c r="K109" i="58"/>
  <c r="I105" i="58"/>
  <c r="F107" i="58"/>
  <c r="R106" i="58"/>
  <c r="L107" i="58"/>
  <c r="C107" i="58"/>
  <c r="J108" i="58"/>
  <c r="G106" i="58"/>
  <c r="G107" i="58"/>
  <c r="O108" i="58"/>
  <c r="Z29" i="18"/>
  <c r="C37" i="18" s="1"/>
  <c r="Q105" i="58"/>
  <c r="K107" i="58"/>
  <c r="P109" i="58"/>
  <c r="F108" i="58"/>
  <c r="K108" i="58"/>
  <c r="N108" i="58"/>
  <c r="Z27" i="19"/>
  <c r="N33" i="19" s="1"/>
  <c r="Z27" i="56"/>
  <c r="J34" i="56" s="1"/>
  <c r="N109" i="58"/>
  <c r="E105" i="58"/>
  <c r="Q109" i="58"/>
  <c r="P105" i="58"/>
  <c r="J106" i="58"/>
  <c r="I107" i="58"/>
  <c r="G109" i="58"/>
  <c r="G108" i="58"/>
  <c r="I106" i="58"/>
  <c r="E109" i="58"/>
  <c r="R109" i="58"/>
  <c r="D106" i="58"/>
  <c r="M106" i="58"/>
  <c r="O107" i="58"/>
  <c r="O109" i="58"/>
  <c r="H105" i="58"/>
  <c r="D107" i="58"/>
  <c r="L108" i="58"/>
  <c r="E107" i="58"/>
  <c r="L109" i="58"/>
  <c r="M109" i="58"/>
  <c r="R108" i="58"/>
  <c r="Z27" i="25"/>
  <c r="D35" i="25" s="1"/>
  <c r="P108" i="58"/>
  <c r="M105" i="58"/>
  <c r="C109" i="58"/>
  <c r="J105" i="58"/>
  <c r="R105" i="58"/>
  <c r="I109" i="58"/>
  <c r="R107" i="58"/>
  <c r="D105" i="58"/>
  <c r="E108" i="58"/>
  <c r="J107" i="58"/>
  <c r="Q107" i="58"/>
  <c r="H109" i="58"/>
  <c r="L106" i="58"/>
  <c r="K106" i="58"/>
  <c r="P106" i="58"/>
  <c r="H107" i="58"/>
  <c r="Q106" i="58"/>
  <c r="O105" i="58"/>
  <c r="M107" i="58"/>
  <c r="C108" i="58"/>
  <c r="C105" i="58"/>
  <c r="F106" i="58"/>
  <c r="H108" i="58"/>
  <c r="O106" i="58"/>
  <c r="P107" i="58"/>
  <c r="N106" i="58"/>
  <c r="D109" i="58"/>
  <c r="H106" i="58"/>
  <c r="N105" i="58"/>
  <c r="E106" i="58"/>
  <c r="I108" i="58"/>
  <c r="G105" i="58"/>
  <c r="C106" i="58"/>
  <c r="D37" i="18"/>
  <c r="E37" i="18"/>
  <c r="K36" i="18"/>
  <c r="E134" i="99"/>
  <c r="E127" i="103"/>
  <c r="L23" i="100"/>
  <c r="P13" i="100"/>
  <c r="L13" i="100"/>
  <c r="H47" i="100"/>
  <c r="H34" i="100"/>
  <c r="L34" i="100"/>
  <c r="G10" i="100"/>
  <c r="H10" i="100" s="1"/>
  <c r="G20" i="100"/>
  <c r="H20" i="100" s="1"/>
  <c r="K31" i="100"/>
  <c r="L31" i="100" s="1"/>
  <c r="G44" i="100"/>
  <c r="H44" i="100" s="1"/>
  <c r="K10" i="100"/>
  <c r="L10" i="100" s="1"/>
  <c r="K20" i="100"/>
  <c r="L20" i="100" s="1"/>
  <c r="O10" i="100"/>
  <c r="P10" i="100" s="1"/>
  <c r="K14" i="103"/>
  <c r="J15" i="103"/>
  <c r="H31" i="25"/>
  <c r="AC16" i="25"/>
  <c r="AU15" i="25" s="1"/>
  <c r="C35" i="18"/>
  <c r="AK39" i="56"/>
  <c r="BC39" i="56" s="1"/>
  <c r="AF34" i="18"/>
  <c r="AX34" i="18" s="1"/>
  <c r="K43" i="18"/>
  <c r="Z52" i="55"/>
  <c r="AI22" i="58"/>
  <c r="BA21" i="58" s="1"/>
  <c r="BA12" i="58"/>
  <c r="O116" i="98"/>
  <c r="O114" i="98"/>
  <c r="J37" i="56"/>
  <c r="M38" i="18"/>
  <c r="L35" i="18"/>
  <c r="F37" i="18"/>
  <c r="M33" i="56"/>
  <c r="E36" i="56"/>
  <c r="AD40" i="25"/>
  <c r="AV39" i="25" s="1"/>
  <c r="M54" i="19"/>
  <c r="N54" i="19"/>
  <c r="I54" i="19"/>
  <c r="E54" i="19"/>
  <c r="K54" i="19"/>
  <c r="D54" i="19"/>
  <c r="C54" i="19"/>
  <c r="P54" i="19"/>
  <c r="H54" i="19"/>
  <c r="G54" i="19"/>
  <c r="K38" i="18"/>
  <c r="L36" i="18"/>
  <c r="G35" i="18"/>
  <c r="O39" i="18"/>
  <c r="F35" i="18"/>
  <c r="G38" i="18"/>
  <c r="O35" i="18"/>
  <c r="D38" i="18"/>
  <c r="M39" i="18"/>
  <c r="R39" i="18"/>
  <c r="R35" i="18"/>
  <c r="L37" i="18"/>
  <c r="K37" i="18"/>
  <c r="H36" i="18"/>
  <c r="C38" i="18"/>
  <c r="F38" i="18"/>
  <c r="K39" i="18"/>
  <c r="O34" i="25"/>
  <c r="C36" i="56"/>
  <c r="J35" i="56"/>
  <c r="E37" i="56"/>
  <c r="K37" i="56"/>
  <c r="O35" i="56"/>
  <c r="N35" i="56"/>
  <c r="I35" i="56"/>
  <c r="H35" i="56"/>
  <c r="R37" i="56"/>
  <c r="C37" i="56"/>
  <c r="G34" i="56"/>
  <c r="O37" i="56"/>
  <c r="D33" i="56"/>
  <c r="Q37" i="56"/>
  <c r="F33" i="56"/>
  <c r="I34" i="56"/>
  <c r="N33" i="56"/>
  <c r="G37" i="56"/>
  <c r="F34" i="56"/>
  <c r="K37" i="19"/>
  <c r="M22" i="98"/>
  <c r="N22" i="98" s="1"/>
  <c r="AI5" i="55"/>
  <c r="L98" i="98"/>
  <c r="V2" i="19"/>
  <c r="AE53" i="18"/>
  <c r="Y51" i="19"/>
  <c r="AQ5" i="19"/>
  <c r="D7" i="19"/>
  <c r="X5" i="19" s="1"/>
  <c r="AU5" i="25"/>
  <c r="BC5" i="25"/>
  <c r="AA50" i="25"/>
  <c r="AI50" i="25"/>
  <c r="AE51" i="25"/>
  <c r="AI52" i="25"/>
  <c r="AW5" i="55"/>
  <c r="J7" i="55"/>
  <c r="BE5" i="55"/>
  <c r="R18" i="55"/>
  <c r="R7" i="55"/>
  <c r="F8" i="55"/>
  <c r="N20" i="55"/>
  <c r="N9" i="55"/>
  <c r="F11" i="55"/>
  <c r="N22" i="55"/>
  <c r="N11" i="55"/>
  <c r="R12" i="55"/>
  <c r="F24" i="55"/>
  <c r="F13" i="55"/>
  <c r="I94" i="98"/>
  <c r="I123" i="98" s="1"/>
  <c r="O90" i="98"/>
  <c r="J94" i="98"/>
  <c r="J123" i="98" s="1"/>
  <c r="V1" i="18"/>
  <c r="E20" i="70"/>
  <c r="E23" i="70" s="1"/>
  <c r="E25" i="70" s="1"/>
  <c r="B14" i="70"/>
  <c r="B16" i="70" s="1"/>
  <c r="H20" i="70"/>
  <c r="H23" i="70" s="1"/>
  <c r="H25" i="70" s="1"/>
  <c r="H29" i="70"/>
  <c r="K22" i="70"/>
  <c r="E41" i="70"/>
  <c r="H11" i="70"/>
  <c r="K11" i="70"/>
  <c r="K15" i="70" s="1"/>
  <c r="K17" i="70" s="1"/>
  <c r="E11" i="70"/>
  <c r="H41" i="70"/>
  <c r="H44" i="70" s="1"/>
  <c r="H46" i="70" s="1"/>
  <c r="E29" i="70"/>
  <c r="AH6" i="25"/>
  <c r="AZ6" i="25" s="1"/>
  <c r="M17" i="25"/>
  <c r="J17" i="19"/>
  <c r="AE6" i="19"/>
  <c r="AW6" i="19" s="1"/>
  <c r="AB8" i="18"/>
  <c r="AT8" i="18" s="1"/>
  <c r="G19" i="18"/>
  <c r="B25" i="93"/>
  <c r="B27" i="93" s="1"/>
  <c r="B30" i="93"/>
  <c r="B32" i="93" s="1"/>
  <c r="B34" i="93" s="1"/>
  <c r="I9" i="98"/>
  <c r="J8" i="98"/>
  <c r="M121" i="99"/>
  <c r="O76" i="99"/>
  <c r="O98" i="99"/>
  <c r="K107" i="99"/>
  <c r="K124" i="99"/>
  <c r="O124" i="99" s="1"/>
  <c r="O82" i="99"/>
  <c r="AQ11" i="58"/>
  <c r="D90" i="58"/>
  <c r="W1" i="58"/>
  <c r="H17" i="58" s="1"/>
  <c r="L92" i="103"/>
  <c r="N87" i="103"/>
  <c r="V1" i="56"/>
  <c r="O20" i="55"/>
  <c r="AD27" i="55"/>
  <c r="E43" i="55" s="1"/>
  <c r="H9" i="103"/>
  <c r="I8" i="103"/>
  <c r="H39" i="103"/>
  <c r="I23" i="103"/>
  <c r="J20" i="103"/>
  <c r="M116" i="103"/>
  <c r="M100" i="103"/>
  <c r="J94" i="103"/>
  <c r="I19" i="98"/>
  <c r="J18" i="98"/>
  <c r="L33" i="55"/>
  <c r="J35" i="55"/>
  <c r="E33" i="55"/>
  <c r="R37" i="55"/>
  <c r="O34" i="55"/>
  <c r="R21" i="55"/>
  <c r="D20" i="55"/>
  <c r="V2" i="56"/>
  <c r="X40" i="25"/>
  <c r="AP39" i="25" s="1"/>
  <c r="M30" i="74"/>
  <c r="M5" i="74"/>
  <c r="O5" i="74" s="1"/>
  <c r="V1" i="25"/>
  <c r="AY5" i="55"/>
  <c r="L7" i="55"/>
  <c r="AB22" i="58"/>
  <c r="AT21" i="58" s="1"/>
  <c r="AT12" i="58"/>
  <c r="H30" i="70"/>
  <c r="H12" i="70"/>
  <c r="E30" i="70"/>
  <c r="K23" i="70"/>
  <c r="E42" i="70"/>
  <c r="Z6" i="19"/>
  <c r="AR6" i="19" s="1"/>
  <c r="E17" i="19"/>
  <c r="D17" i="56"/>
  <c r="Y6" i="56"/>
  <c r="AQ6" i="56" s="1"/>
  <c r="W4" i="58"/>
  <c r="C57" i="58" s="1"/>
  <c r="K60" i="58"/>
  <c r="H32" i="98"/>
  <c r="I31" i="98"/>
  <c r="N26" i="103"/>
  <c r="L25" i="98"/>
  <c r="H91" i="99"/>
  <c r="O78" i="103"/>
  <c r="I113" i="103"/>
  <c r="I119" i="98"/>
  <c r="O119" i="98" s="1"/>
  <c r="I104" i="98"/>
  <c r="H112" i="103"/>
  <c r="O112" i="103" s="1"/>
  <c r="O68" i="103"/>
  <c r="I43" i="99"/>
  <c r="J21" i="99"/>
  <c r="H19" i="103"/>
  <c r="O122" i="98"/>
  <c r="J26" i="99"/>
  <c r="K26" i="99" s="1"/>
  <c r="L26" i="99" s="1"/>
  <c r="M26" i="99" s="1"/>
  <c r="O62" i="103"/>
  <c r="O110" i="103"/>
  <c r="K92" i="103"/>
  <c r="K94" i="103" s="1"/>
  <c r="K117" i="103" s="1"/>
  <c r="N91" i="103"/>
  <c r="J25" i="103"/>
  <c r="I97" i="103"/>
  <c r="I38" i="103"/>
  <c r="O84" i="103"/>
  <c r="E135" i="99"/>
  <c r="E128" i="103"/>
  <c r="G41" i="100"/>
  <c r="H41" i="100" s="1"/>
  <c r="O17" i="100"/>
  <c r="P17" i="100" s="1"/>
  <c r="G17" i="100"/>
  <c r="H17" i="100" s="1"/>
  <c r="G28" i="100"/>
  <c r="H28" i="100" s="1"/>
  <c r="G7" i="100"/>
  <c r="H7" i="100" s="1"/>
  <c r="L9" i="100"/>
  <c r="L14" i="100" s="1"/>
  <c r="L16" i="100" s="1"/>
  <c r="H9" i="100"/>
  <c r="H33" i="100"/>
  <c r="H11" i="100"/>
  <c r="P11" i="100"/>
  <c r="P14" i="100" s="1"/>
  <c r="P16" i="100" s="1"/>
  <c r="L33" i="100"/>
  <c r="H22" i="100"/>
  <c r="H45" i="100"/>
  <c r="H121" i="98"/>
  <c r="D10" i="100"/>
  <c r="D14" i="100" s="1"/>
  <c r="D16" i="100" s="1"/>
  <c r="K44" i="100"/>
  <c r="L44" i="100" s="1"/>
  <c r="G31" i="100"/>
  <c r="H31" i="100" s="1"/>
  <c r="P24" i="100"/>
  <c r="H23" i="100"/>
  <c r="H13" i="100"/>
  <c r="E44" i="55" l="1"/>
  <c r="O37" i="55"/>
  <c r="I34" i="55"/>
  <c r="L37" i="55"/>
  <c r="H36" i="55"/>
  <c r="Q35" i="55"/>
  <c r="P33" i="55"/>
  <c r="C35" i="55"/>
  <c r="M33" i="55"/>
  <c r="P34" i="55"/>
  <c r="D34" i="55"/>
  <c r="M35" i="55"/>
  <c r="F34" i="55"/>
  <c r="D37" i="55"/>
  <c r="R36" i="55"/>
  <c r="J36" i="55"/>
  <c r="Q34" i="55"/>
  <c r="P36" i="55"/>
  <c r="J34" i="55"/>
  <c r="N36" i="55"/>
  <c r="E34" i="55"/>
  <c r="C36" i="55"/>
  <c r="E36" i="55"/>
  <c r="G36" i="55"/>
  <c r="P37" i="55"/>
  <c r="G37" i="55"/>
  <c r="M37" i="55"/>
  <c r="F36" i="55"/>
  <c r="N37" i="55"/>
  <c r="H34" i="55"/>
  <c r="K34" i="55"/>
  <c r="M36" i="55"/>
  <c r="C33" i="55"/>
  <c r="O35" i="55"/>
  <c r="Q37" i="55"/>
  <c r="G35" i="55"/>
  <c r="J33" i="55"/>
  <c r="K36" i="55"/>
  <c r="F37" i="55"/>
  <c r="N34" i="55"/>
  <c r="E37" i="55"/>
  <c r="P35" i="55"/>
  <c r="G33" i="55"/>
  <c r="R33" i="55"/>
  <c r="I36" i="55"/>
  <c r="E35" i="55"/>
  <c r="C37" i="55"/>
  <c r="L35" i="55"/>
  <c r="Q36" i="55"/>
  <c r="I35" i="55"/>
  <c r="H33" i="55"/>
  <c r="D35" i="55"/>
  <c r="O36" i="55"/>
  <c r="L34" i="55"/>
  <c r="L36" i="55"/>
  <c r="R35" i="55"/>
  <c r="D33" i="55"/>
  <c r="N35" i="55"/>
  <c r="F35" i="55"/>
  <c r="K35" i="55"/>
  <c r="I37" i="55"/>
  <c r="F33" i="55"/>
  <c r="O33" i="55"/>
  <c r="G34" i="55"/>
  <c r="Q33" i="55"/>
  <c r="AC28" i="25"/>
  <c r="AC28" i="55"/>
  <c r="AC28" i="19"/>
  <c r="C47" i="19" s="1"/>
  <c r="L46" i="19"/>
  <c r="L44" i="19"/>
  <c r="Q44" i="19"/>
  <c r="F46" i="19"/>
  <c r="M46" i="19"/>
  <c r="G43" i="19"/>
  <c r="R45" i="19"/>
  <c r="L37" i="25"/>
  <c r="G37" i="19"/>
  <c r="R37" i="25"/>
  <c r="H33" i="19"/>
  <c r="L36" i="19"/>
  <c r="Q56" i="18"/>
  <c r="R54" i="25"/>
  <c r="O56" i="18"/>
  <c r="F56" i="18"/>
  <c r="D54" i="56"/>
  <c r="N54" i="55"/>
  <c r="K54" i="55"/>
  <c r="H54" i="55"/>
  <c r="M54" i="55"/>
  <c r="AF15" i="55"/>
  <c r="AX15" i="55" s="1"/>
  <c r="AI16" i="25"/>
  <c r="BA15" i="25" s="1"/>
  <c r="AI32" i="55"/>
  <c r="BA32" i="55" s="1"/>
  <c r="R31" i="25"/>
  <c r="Z32" i="25"/>
  <c r="AR32" i="25" s="1"/>
  <c r="D54" i="18"/>
  <c r="Y50" i="18" s="1"/>
  <c r="L48" i="100"/>
  <c r="L50" i="100" s="1"/>
  <c r="H52" i="58"/>
  <c r="P51" i="58"/>
  <c r="O91" i="58"/>
  <c r="O49" i="58"/>
  <c r="G48" i="58"/>
  <c r="H46" i="58"/>
  <c r="D46" i="58"/>
  <c r="D50" i="58"/>
  <c r="H47" i="58"/>
  <c r="N93" i="58"/>
  <c r="I91" i="58"/>
  <c r="R96" i="58"/>
  <c r="Q90" i="58"/>
  <c r="L46" i="58"/>
  <c r="Q47" i="58"/>
  <c r="Q51" i="58"/>
  <c r="L50" i="58"/>
  <c r="F13" i="58"/>
  <c r="O16" i="58"/>
  <c r="H56" i="18"/>
  <c r="K56" i="18"/>
  <c r="N115" i="58"/>
  <c r="AD29" i="18"/>
  <c r="D46" i="18" s="1"/>
  <c r="I118" i="58"/>
  <c r="R117" i="58"/>
  <c r="H44" i="19"/>
  <c r="F116" i="58"/>
  <c r="Q119" i="58"/>
  <c r="P115" i="58"/>
  <c r="F119" i="58"/>
  <c r="N118" i="58"/>
  <c r="O118" i="58"/>
  <c r="J117" i="58"/>
  <c r="L116" i="58"/>
  <c r="J119" i="58"/>
  <c r="H115" i="58"/>
  <c r="H116" i="58"/>
  <c r="D119" i="58"/>
  <c r="AA15" i="56"/>
  <c r="AS15" i="56" s="1"/>
  <c r="F31" i="56"/>
  <c r="D46" i="19"/>
  <c r="F45" i="19"/>
  <c r="N45" i="19"/>
  <c r="R56" i="18"/>
  <c r="M56" i="18"/>
  <c r="J60" i="58"/>
  <c r="AC15" i="56"/>
  <c r="AU15" i="56" s="1"/>
  <c r="D44" i="19"/>
  <c r="Q47" i="19"/>
  <c r="R46" i="19"/>
  <c r="E44" i="19"/>
  <c r="F43" i="19"/>
  <c r="L47" i="19"/>
  <c r="E46" i="19"/>
  <c r="H46" i="19"/>
  <c r="H36" i="56"/>
  <c r="K36" i="56"/>
  <c r="M35" i="56"/>
  <c r="C33" i="56"/>
  <c r="D36" i="56"/>
  <c r="F37" i="56"/>
  <c r="D34" i="56"/>
  <c r="H34" i="56"/>
  <c r="L36" i="56"/>
  <c r="C34" i="56"/>
  <c r="E35" i="18"/>
  <c r="N37" i="18"/>
  <c r="G37" i="18"/>
  <c r="P36" i="18"/>
  <c r="D36" i="18"/>
  <c r="C39" i="18"/>
  <c r="K35" i="18"/>
  <c r="N38" i="18"/>
  <c r="P38" i="18"/>
  <c r="O36" i="56"/>
  <c r="I38" i="18"/>
  <c r="E36" i="18"/>
  <c r="M35" i="18"/>
  <c r="H35" i="18"/>
  <c r="P46" i="18"/>
  <c r="G56" i="18"/>
  <c r="P54" i="56"/>
  <c r="K54" i="25"/>
  <c r="C56" i="18"/>
  <c r="H54" i="56"/>
  <c r="R54" i="56"/>
  <c r="J56" i="18"/>
  <c r="C31" i="56"/>
  <c r="AB15" i="19"/>
  <c r="AT15" i="19" s="1"/>
  <c r="D56" i="18"/>
  <c r="Q116" i="58"/>
  <c r="E117" i="58"/>
  <c r="Q115" i="58"/>
  <c r="C118" i="58"/>
  <c r="H118" i="58"/>
  <c r="N117" i="58"/>
  <c r="I116" i="58"/>
  <c r="N119" i="58"/>
  <c r="AD27" i="56"/>
  <c r="L115" i="58"/>
  <c r="P117" i="58"/>
  <c r="M117" i="58"/>
  <c r="K117" i="58"/>
  <c r="I115" i="58"/>
  <c r="Q117" i="58"/>
  <c r="D117" i="58"/>
  <c r="E41" i="56"/>
  <c r="G118" i="58"/>
  <c r="J31" i="25"/>
  <c r="AE16" i="25"/>
  <c r="AW15" i="25" s="1"/>
  <c r="F47" i="19"/>
  <c r="J47" i="19"/>
  <c r="P46" i="19"/>
  <c r="I45" i="18"/>
  <c r="I56" i="18"/>
  <c r="K44" i="19"/>
  <c r="I45" i="19"/>
  <c r="P44" i="19"/>
  <c r="H43" i="19"/>
  <c r="J43" i="19"/>
  <c r="E45" i="19"/>
  <c r="J37" i="18"/>
  <c r="R36" i="56"/>
  <c r="P37" i="56"/>
  <c r="Q34" i="56"/>
  <c r="I36" i="56"/>
  <c r="M36" i="56"/>
  <c r="N36" i="56"/>
  <c r="D37" i="56"/>
  <c r="L34" i="56"/>
  <c r="G36" i="56"/>
  <c r="E33" i="56"/>
  <c r="E39" i="18"/>
  <c r="F36" i="18"/>
  <c r="D39" i="18"/>
  <c r="O38" i="18"/>
  <c r="J38" i="18"/>
  <c r="J39" i="18"/>
  <c r="C36" i="18"/>
  <c r="M34" i="56"/>
  <c r="N39" i="18"/>
  <c r="Q37" i="18"/>
  <c r="N35" i="18"/>
  <c r="M37" i="56"/>
  <c r="L54" i="56"/>
  <c r="G54" i="56"/>
  <c r="E56" i="18"/>
  <c r="I54" i="56"/>
  <c r="P56" i="18"/>
  <c r="G119" i="58"/>
  <c r="K118" i="58"/>
  <c r="J115" i="58"/>
  <c r="M116" i="58"/>
  <c r="L118" i="58"/>
  <c r="P118" i="58"/>
  <c r="L117" i="58"/>
  <c r="M119" i="58"/>
  <c r="F117" i="58"/>
  <c r="R118" i="58"/>
  <c r="G117" i="58"/>
  <c r="N116" i="58"/>
  <c r="O115" i="58"/>
  <c r="H119" i="58"/>
  <c r="L119" i="58"/>
  <c r="E118" i="58"/>
  <c r="J92" i="58"/>
  <c r="J94" i="58"/>
  <c r="P96" i="58"/>
  <c r="C91" i="58"/>
  <c r="C46" i="58"/>
  <c r="G51" i="58"/>
  <c r="J116" i="58"/>
  <c r="N41" i="25"/>
  <c r="C119" i="58"/>
  <c r="AH32" i="55"/>
  <c r="AZ32" i="55" s="1"/>
  <c r="M41" i="55"/>
  <c r="AE17" i="18"/>
  <c r="AW17" i="18" s="1"/>
  <c r="J33" i="18"/>
  <c r="M18" i="55"/>
  <c r="M22" i="55"/>
  <c r="N21" i="55"/>
  <c r="C19" i="55"/>
  <c r="F22" i="55"/>
  <c r="N24" i="55"/>
  <c r="R22" i="55"/>
  <c r="R19" i="55"/>
  <c r="L22" i="55"/>
  <c r="I22" i="55"/>
  <c r="H24" i="55"/>
  <c r="E23" i="55"/>
  <c r="Q23" i="55"/>
  <c r="N23" i="55"/>
  <c r="O18" i="55"/>
  <c r="C20" i="55"/>
  <c r="O23" i="55"/>
  <c r="K24" i="55"/>
  <c r="I20" i="55"/>
  <c r="J21" i="55"/>
  <c r="O21" i="55"/>
  <c r="H21" i="55"/>
  <c r="G22" i="55"/>
  <c r="K22" i="55"/>
  <c r="L20" i="55"/>
  <c r="I18" i="55"/>
  <c r="R23" i="55"/>
  <c r="F19" i="55"/>
  <c r="J24" i="55"/>
  <c r="J22" i="55"/>
  <c r="N19" i="55"/>
  <c r="Q20" i="55"/>
  <c r="K18" i="55"/>
  <c r="D18" i="55"/>
  <c r="P21" i="55"/>
  <c r="Q18" i="55"/>
  <c r="M19" i="55"/>
  <c r="J20" i="55"/>
  <c r="Q22" i="55"/>
  <c r="Q24" i="55"/>
  <c r="M24" i="55"/>
  <c r="E19" i="55"/>
  <c r="G18" i="55"/>
  <c r="L18" i="55"/>
  <c r="P20" i="55"/>
  <c r="G21" i="55"/>
  <c r="F21" i="55"/>
  <c r="H20" i="55"/>
  <c r="D21" i="55"/>
  <c r="E24" i="55"/>
  <c r="L21" i="55"/>
  <c r="J18" i="55"/>
  <c r="J23" i="55"/>
  <c r="R20" i="55"/>
  <c r="J19" i="55"/>
  <c r="H23" i="55"/>
  <c r="P23" i="55"/>
  <c r="M21" i="55"/>
  <c r="I23" i="55"/>
  <c r="E22" i="55"/>
  <c r="D19" i="55"/>
  <c r="O22" i="55"/>
  <c r="E21" i="55"/>
  <c r="E20" i="55"/>
  <c r="M20" i="55"/>
  <c r="K19" i="55"/>
  <c r="K20" i="55"/>
  <c r="G24" i="55"/>
  <c r="C22" i="55"/>
  <c r="C18" i="55"/>
  <c r="C24" i="55"/>
  <c r="X5" i="55"/>
  <c r="AC5" i="19"/>
  <c r="AI5" i="19"/>
  <c r="H92" i="58"/>
  <c r="C96" i="58"/>
  <c r="N105" i="99"/>
  <c r="N90" i="99"/>
  <c r="J23" i="99"/>
  <c r="I108" i="99"/>
  <c r="N106" i="98"/>
  <c r="H115" i="98"/>
  <c r="O103" i="98"/>
  <c r="H107" i="98"/>
  <c r="O121" i="99"/>
  <c r="I36" i="99"/>
  <c r="N13" i="99"/>
  <c r="L14" i="99"/>
  <c r="L15" i="99" s="1"/>
  <c r="N91" i="99"/>
  <c r="I19" i="99"/>
  <c r="K29" i="98"/>
  <c r="J30" i="98"/>
  <c r="J100" i="98"/>
  <c r="I34" i="98"/>
  <c r="J33" i="98"/>
  <c r="N99" i="98"/>
  <c r="H44" i="98"/>
  <c r="H120" i="98" s="1"/>
  <c r="K100" i="98"/>
  <c r="J6" i="98"/>
  <c r="I7" i="98"/>
  <c r="L14" i="98"/>
  <c r="K15" i="98"/>
  <c r="J31" i="99"/>
  <c r="I32" i="99"/>
  <c r="I156" i="99"/>
  <c r="N156" i="99" s="1"/>
  <c r="N155" i="99"/>
  <c r="O105" i="99"/>
  <c r="J30" i="99"/>
  <c r="K29" i="99"/>
  <c r="M92" i="99"/>
  <c r="M125" i="99" s="1"/>
  <c r="M100" i="99"/>
  <c r="M112" i="99" s="1"/>
  <c r="K24" i="99"/>
  <c r="L24" i="99" s="1"/>
  <c r="J38" i="103"/>
  <c r="K6" i="103"/>
  <c r="O93" i="103"/>
  <c r="L94" i="103"/>
  <c r="L117" i="103" s="1"/>
  <c r="M18" i="103"/>
  <c r="N18" i="103" s="1"/>
  <c r="N93" i="103"/>
  <c r="K12" i="103"/>
  <c r="K13" i="103" s="1"/>
  <c r="O116" i="103"/>
  <c r="O119" i="58"/>
  <c r="C115" i="58"/>
  <c r="E119" i="58"/>
  <c r="J118" i="58"/>
  <c r="D116" i="58"/>
  <c r="F118" i="58"/>
  <c r="AD27" i="25"/>
  <c r="E115" i="58"/>
  <c r="K116" i="58"/>
  <c r="O116" i="58"/>
  <c r="O117" i="58"/>
  <c r="H117" i="58"/>
  <c r="G116" i="58"/>
  <c r="P116" i="58"/>
  <c r="M118" i="58"/>
  <c r="R116" i="58"/>
  <c r="P119" i="58"/>
  <c r="C54" i="55"/>
  <c r="G54" i="55"/>
  <c r="F54" i="55"/>
  <c r="L54" i="55"/>
  <c r="R54" i="55"/>
  <c r="P54" i="55"/>
  <c r="Q15" i="58"/>
  <c r="F16" i="58"/>
  <c r="E14" i="70"/>
  <c r="E16" i="70" s="1"/>
  <c r="K26" i="70"/>
  <c r="K28" i="70" s="1"/>
  <c r="R41" i="56"/>
  <c r="AM39" i="56" s="1"/>
  <c r="BE39" i="56" s="1"/>
  <c r="N54" i="25"/>
  <c r="D35" i="19"/>
  <c r="Y5" i="19"/>
  <c r="O37" i="19"/>
  <c r="M37" i="18"/>
  <c r="D35" i="18"/>
  <c r="R38" i="18"/>
  <c r="E38" i="18"/>
  <c r="R37" i="18"/>
  <c r="H39" i="18"/>
  <c r="Q36" i="18"/>
  <c r="J36" i="18"/>
  <c r="P39" i="18"/>
  <c r="J54" i="25"/>
  <c r="O54" i="25"/>
  <c r="D51" i="58"/>
  <c r="D49" i="58"/>
  <c r="G46" i="58"/>
  <c r="R46" i="58"/>
  <c r="Q46" i="58"/>
  <c r="M46" i="58"/>
  <c r="M51" i="58"/>
  <c r="P49" i="58"/>
  <c r="R50" i="58"/>
  <c r="P47" i="58"/>
  <c r="N52" i="58"/>
  <c r="M52" i="58"/>
  <c r="O51" i="58"/>
  <c r="J50" i="58"/>
  <c r="I52" i="58"/>
  <c r="L51" i="58"/>
  <c r="O50" i="58"/>
  <c r="J51" i="58"/>
  <c r="K50" i="58"/>
  <c r="N48" i="58"/>
  <c r="N47" i="58"/>
  <c r="J46" i="58"/>
  <c r="H51" i="58"/>
  <c r="H48" i="58"/>
  <c r="K51" i="58"/>
  <c r="L48" i="58"/>
  <c r="Q52" i="58"/>
  <c r="E51" i="58"/>
  <c r="C48" i="58"/>
  <c r="M49" i="58"/>
  <c r="O52" i="58"/>
  <c r="P50" i="58"/>
  <c r="D48" i="58"/>
  <c r="I47" i="58"/>
  <c r="N46" i="58"/>
  <c r="K47" i="58"/>
  <c r="R47" i="58"/>
  <c r="L47" i="58"/>
  <c r="E49" i="58"/>
  <c r="F46" i="58"/>
  <c r="E47" i="58"/>
  <c r="M48" i="58"/>
  <c r="I46" i="58"/>
  <c r="Q50" i="58"/>
  <c r="K48" i="58"/>
  <c r="J52" i="58"/>
  <c r="L52" i="58"/>
  <c r="K49" i="58"/>
  <c r="G49" i="58"/>
  <c r="C49" i="58"/>
  <c r="E48" i="58"/>
  <c r="J49" i="58"/>
  <c r="M47" i="58"/>
  <c r="K46" i="58"/>
  <c r="O47" i="58"/>
  <c r="O48" i="58"/>
  <c r="C52" i="58"/>
  <c r="I51" i="58"/>
  <c r="H50" i="58"/>
  <c r="F51" i="58"/>
  <c r="E46" i="58"/>
  <c r="M50" i="58"/>
  <c r="O46" i="58"/>
  <c r="Q48" i="58"/>
  <c r="E50" i="58"/>
  <c r="C47" i="58"/>
  <c r="F48" i="58"/>
  <c r="F47" i="58"/>
  <c r="Q49" i="58"/>
  <c r="I48" i="58"/>
  <c r="F50" i="58"/>
  <c r="M54" i="56"/>
  <c r="N54" i="56"/>
  <c r="K54" i="56"/>
  <c r="L26" i="98"/>
  <c r="M26" i="98" s="1"/>
  <c r="I38" i="98"/>
  <c r="J37" i="98"/>
  <c r="E34" i="25"/>
  <c r="L34" i="25"/>
  <c r="O31" i="56"/>
  <c r="AJ15" i="56"/>
  <c r="BB15" i="56" s="1"/>
  <c r="C94" i="58"/>
  <c r="G94" i="58"/>
  <c r="E94" i="58"/>
  <c r="L95" i="58"/>
  <c r="R93" i="58"/>
  <c r="E52" i="58"/>
  <c r="J47" i="58"/>
  <c r="C51" i="58"/>
  <c r="D47" i="58"/>
  <c r="N51" i="58"/>
  <c r="N92" i="103"/>
  <c r="M14" i="58"/>
  <c r="AJ34" i="18"/>
  <c r="BB34" i="18" s="1"/>
  <c r="F43" i="56"/>
  <c r="C47" i="56"/>
  <c r="M45" i="56"/>
  <c r="D46" i="56"/>
  <c r="H44" i="56"/>
  <c r="M96" i="58"/>
  <c r="P92" i="58"/>
  <c r="C92" i="58"/>
  <c r="H91" i="58"/>
  <c r="F95" i="58"/>
  <c r="P90" i="58"/>
  <c r="D95" i="58"/>
  <c r="O95" i="58"/>
  <c r="E96" i="58"/>
  <c r="M93" i="58"/>
  <c r="R92" i="58"/>
  <c r="D96" i="58"/>
  <c r="D91" i="58"/>
  <c r="O90" i="58"/>
  <c r="N94" i="58"/>
  <c r="F92" i="58"/>
  <c r="C93" i="58"/>
  <c r="E93" i="58"/>
  <c r="F91" i="58"/>
  <c r="R90" i="58"/>
  <c r="Q92" i="58"/>
  <c r="N92" i="58"/>
  <c r="H94" i="58"/>
  <c r="G96" i="58"/>
  <c r="N95" i="58"/>
  <c r="J90" i="58"/>
  <c r="L92" i="58"/>
  <c r="E91" i="58"/>
  <c r="K92" i="58"/>
  <c r="F94" i="58"/>
  <c r="M95" i="58"/>
  <c r="P91" i="58"/>
  <c r="D93" i="58"/>
  <c r="K91" i="58"/>
  <c r="H95" i="58"/>
  <c r="N91" i="58"/>
  <c r="M91" i="58"/>
  <c r="C95" i="58"/>
  <c r="L90" i="58"/>
  <c r="J91" i="58"/>
  <c r="Q91" i="58"/>
  <c r="L96" i="58"/>
  <c r="L94" i="58"/>
  <c r="J93" i="58"/>
  <c r="Q96" i="58"/>
  <c r="E95" i="58"/>
  <c r="Q95" i="58"/>
  <c r="O96" i="58"/>
  <c r="M92" i="58"/>
  <c r="K96" i="58"/>
  <c r="I96" i="58"/>
  <c r="O92" i="58"/>
  <c r="I93" i="58"/>
  <c r="D92" i="58"/>
  <c r="G92" i="58"/>
  <c r="R91" i="58"/>
  <c r="M90" i="58"/>
  <c r="H93" i="58"/>
  <c r="G95" i="58"/>
  <c r="I90" i="58"/>
  <c r="R95" i="58"/>
  <c r="F93" i="58"/>
  <c r="O93" i="58"/>
  <c r="E90" i="58"/>
  <c r="Q93" i="58"/>
  <c r="K94" i="58"/>
  <c r="I92" i="58"/>
  <c r="L93" i="58"/>
  <c r="J96" i="58"/>
  <c r="L91" i="58"/>
  <c r="I94" i="58"/>
  <c r="F90" i="58"/>
  <c r="I95" i="58"/>
  <c r="P94" i="58"/>
  <c r="C90" i="58"/>
  <c r="Q94" i="58"/>
  <c r="P93" i="58"/>
  <c r="K95" i="58"/>
  <c r="J48" i="58"/>
  <c r="I50" i="58"/>
  <c r="I49" i="58"/>
  <c r="P52" i="58"/>
  <c r="G47" i="58"/>
  <c r="D36" i="55"/>
  <c r="D54" i="55"/>
  <c r="I54" i="55"/>
  <c r="K92" i="99"/>
  <c r="K125" i="99" s="1"/>
  <c r="K179" i="99"/>
  <c r="K100" i="99"/>
  <c r="G31" i="55"/>
  <c r="AB15" i="55"/>
  <c r="AT15" i="55" s="1"/>
  <c r="AG15" i="56"/>
  <c r="AY15" i="56" s="1"/>
  <c r="L31" i="56"/>
  <c r="L19" i="55"/>
  <c r="D24" i="55"/>
  <c r="Q19" i="55"/>
  <c r="G19" i="55"/>
  <c r="G20" i="55"/>
  <c r="I24" i="55"/>
  <c r="I19" i="55"/>
  <c r="K23" i="55"/>
  <c r="K26" i="93"/>
  <c r="K28" i="93" s="1"/>
  <c r="AK15" i="19"/>
  <c r="BC15" i="19" s="1"/>
  <c r="P31" i="19"/>
  <c r="P22" i="55"/>
  <c r="O19" i="55"/>
  <c r="H19" i="55"/>
  <c r="P18" i="55"/>
  <c r="J9" i="99"/>
  <c r="K8" i="99"/>
  <c r="I21" i="55"/>
  <c r="N92" i="99"/>
  <c r="N125" i="99" s="1"/>
  <c r="AJ5" i="19"/>
  <c r="AA5" i="19"/>
  <c r="N12" i="99"/>
  <c r="H44" i="99"/>
  <c r="H122" i="99" s="1"/>
  <c r="B30" i="74"/>
  <c r="B22" i="74"/>
  <c r="K19" i="74"/>
  <c r="M19" i="74" s="1"/>
  <c r="K38" i="103"/>
  <c r="L37" i="103"/>
  <c r="L20" i="99"/>
  <c r="K23" i="99"/>
  <c r="H18" i="55"/>
  <c r="H22" i="55"/>
  <c r="P24" i="55"/>
  <c r="E18" i="55"/>
  <c r="P19" i="55"/>
  <c r="L23" i="55"/>
  <c r="M23" i="55"/>
  <c r="AE5" i="19"/>
  <c r="I33" i="18"/>
  <c r="AD17" i="18"/>
  <c r="AV17" i="18" s="1"/>
  <c r="AK5" i="55"/>
  <c r="J27" i="103"/>
  <c r="K24" i="103"/>
  <c r="AM41" i="18"/>
  <c r="BE41" i="18" s="1"/>
  <c r="R54" i="18"/>
  <c r="AM50" i="18" s="1"/>
  <c r="AK34" i="18"/>
  <c r="BC34" i="18" s="1"/>
  <c r="P43" i="18"/>
  <c r="K23" i="98"/>
  <c r="L20" i="98"/>
  <c r="J54" i="55"/>
  <c r="E54" i="56"/>
  <c r="Q54" i="56"/>
  <c r="O54" i="56"/>
  <c r="J54" i="56"/>
  <c r="N56" i="18"/>
  <c r="I7" i="99"/>
  <c r="J6" i="99"/>
  <c r="I39" i="99"/>
  <c r="R31" i="55"/>
  <c r="AM15" i="55"/>
  <c r="BE15" i="55" s="1"/>
  <c r="H41" i="99"/>
  <c r="Y16" i="25"/>
  <c r="AQ15" i="25" s="1"/>
  <c r="D31" i="25"/>
  <c r="P31" i="25"/>
  <c r="AK16" i="25"/>
  <c r="BC15" i="25" s="1"/>
  <c r="C19" i="58"/>
  <c r="D34" i="25"/>
  <c r="H36" i="25"/>
  <c r="D33" i="19"/>
  <c r="K33" i="19"/>
  <c r="P34" i="19"/>
  <c r="E34" i="19"/>
  <c r="P37" i="19"/>
  <c r="J44" i="56"/>
  <c r="H57" i="58"/>
  <c r="M60" i="58"/>
  <c r="G57" i="58"/>
  <c r="I58" i="58"/>
  <c r="D60" i="58"/>
  <c r="G63" i="58"/>
  <c r="K37" i="25"/>
  <c r="Q43" i="56"/>
  <c r="P44" i="56"/>
  <c r="D37" i="19"/>
  <c r="F34" i="19"/>
  <c r="I35" i="19"/>
  <c r="D33" i="25"/>
  <c r="E35" i="25"/>
  <c r="F37" i="19"/>
  <c r="I33" i="25"/>
  <c r="M37" i="25"/>
  <c r="I36" i="103"/>
  <c r="J35" i="103"/>
  <c r="J43" i="98"/>
  <c r="J121" i="98" s="1"/>
  <c r="K21" i="98"/>
  <c r="J103" i="98"/>
  <c r="J107" i="98" s="1"/>
  <c r="AA15" i="55"/>
  <c r="AS15" i="55" s="1"/>
  <c r="F31" i="55"/>
  <c r="AA32" i="55" s="1"/>
  <c r="AS32" i="55" s="1"/>
  <c r="Q41" i="19"/>
  <c r="AL32" i="19"/>
  <c r="BD32" i="19" s="1"/>
  <c r="C46" i="56"/>
  <c r="D37" i="25"/>
  <c r="O37" i="25"/>
  <c r="Q36" i="25"/>
  <c r="L36" i="25"/>
  <c r="M35" i="25"/>
  <c r="I36" i="25"/>
  <c r="M36" i="25"/>
  <c r="J34" i="25"/>
  <c r="P34" i="25"/>
  <c r="G37" i="25"/>
  <c r="I37" i="25"/>
  <c r="L33" i="25"/>
  <c r="K36" i="25"/>
  <c r="R34" i="25"/>
  <c r="P36" i="25"/>
  <c r="G33" i="25"/>
  <c r="F37" i="25"/>
  <c r="N35" i="25"/>
  <c r="K33" i="25"/>
  <c r="Q33" i="25"/>
  <c r="E33" i="25"/>
  <c r="J37" i="25"/>
  <c r="E36" i="25"/>
  <c r="N33" i="25"/>
  <c r="C37" i="25"/>
  <c r="Q34" i="25"/>
  <c r="Q37" i="25"/>
  <c r="R33" i="25"/>
  <c r="G36" i="25"/>
  <c r="O36" i="25"/>
  <c r="K34" i="25"/>
  <c r="Q35" i="25"/>
  <c r="P35" i="25"/>
  <c r="K35" i="25"/>
  <c r="F36" i="25"/>
  <c r="P33" i="25"/>
  <c r="N37" i="25"/>
  <c r="F35" i="25"/>
  <c r="C35" i="25"/>
  <c r="R35" i="25"/>
  <c r="C34" i="25"/>
  <c r="C36" i="25"/>
  <c r="H34" i="25"/>
  <c r="J36" i="25"/>
  <c r="G35" i="25"/>
  <c r="C33" i="25"/>
  <c r="M33" i="25"/>
  <c r="E37" i="25"/>
  <c r="O33" i="25"/>
  <c r="H33" i="25"/>
  <c r="R36" i="25"/>
  <c r="L35" i="25"/>
  <c r="R34" i="19"/>
  <c r="M33" i="19"/>
  <c r="G33" i="19"/>
  <c r="M37" i="19"/>
  <c r="P33" i="19"/>
  <c r="J34" i="19"/>
  <c r="Q37" i="19"/>
  <c r="M34" i="19"/>
  <c r="Q33" i="19"/>
  <c r="O35" i="19"/>
  <c r="L37" i="19"/>
  <c r="C33" i="19"/>
  <c r="H35" i="19"/>
  <c r="G35" i="19"/>
  <c r="Q36" i="19"/>
  <c r="N36" i="19"/>
  <c r="J35" i="19"/>
  <c r="F33" i="19"/>
  <c r="R33" i="19"/>
  <c r="O36" i="19"/>
  <c r="G36" i="19"/>
  <c r="D36" i="19"/>
  <c r="R36" i="19"/>
  <c r="C37" i="19"/>
  <c r="Q34" i="19"/>
  <c r="G34" i="19"/>
  <c r="I36" i="19"/>
  <c r="K36" i="19"/>
  <c r="N37" i="19"/>
  <c r="J36" i="19"/>
  <c r="F36" i="19"/>
  <c r="E36" i="19"/>
  <c r="R35" i="19"/>
  <c r="E33" i="19"/>
  <c r="C34" i="19"/>
  <c r="R37" i="19"/>
  <c r="D34" i="19"/>
  <c r="E37" i="19"/>
  <c r="F35" i="19"/>
  <c r="M35" i="19"/>
  <c r="O34" i="19"/>
  <c r="J37" i="19"/>
  <c r="H36" i="19"/>
  <c r="I34" i="19"/>
  <c r="L33" i="19"/>
  <c r="P35" i="19"/>
  <c r="E35" i="19"/>
  <c r="L35" i="19"/>
  <c r="M36" i="19"/>
  <c r="C35" i="19"/>
  <c r="W2" i="25"/>
  <c r="Q22" i="25" s="1"/>
  <c r="I17" i="99"/>
  <c r="J16" i="99"/>
  <c r="K48" i="99"/>
  <c r="L48" i="99" s="1"/>
  <c r="M48" i="99" s="1"/>
  <c r="H44" i="103"/>
  <c r="H114" i="103" s="1"/>
  <c r="L13" i="58"/>
  <c r="L16" i="58"/>
  <c r="H13" i="58"/>
  <c r="P18" i="58"/>
  <c r="Q19" i="58"/>
  <c r="C13" i="58"/>
  <c r="G17" i="58"/>
  <c r="K13" i="58"/>
  <c r="AF11" i="58" s="1"/>
  <c r="O15" i="58"/>
  <c r="H15" i="58"/>
  <c r="D13" i="58"/>
  <c r="I18" i="58"/>
  <c r="P37" i="25"/>
  <c r="J33" i="19"/>
  <c r="H35" i="25"/>
  <c r="J33" i="25"/>
  <c r="X39" i="55"/>
  <c r="AP39" i="55" s="1"/>
  <c r="M34" i="25"/>
  <c r="G45" i="56"/>
  <c r="L47" i="56"/>
  <c r="P43" i="56"/>
  <c r="O45" i="56"/>
  <c r="D47" i="56"/>
  <c r="M43" i="56"/>
  <c r="N44" i="56"/>
  <c r="R47" i="56"/>
  <c r="M46" i="56"/>
  <c r="H46" i="56"/>
  <c r="F47" i="56"/>
  <c r="D43" i="56"/>
  <c r="I43" i="56"/>
  <c r="R46" i="56"/>
  <c r="L43" i="56"/>
  <c r="E45" i="56"/>
  <c r="H47" i="56"/>
  <c r="I45" i="56"/>
  <c r="G43" i="56"/>
  <c r="G44" i="56"/>
  <c r="L46" i="56"/>
  <c r="P46" i="56"/>
  <c r="F44" i="56"/>
  <c r="N46" i="56"/>
  <c r="E44" i="56"/>
  <c r="N45" i="56"/>
  <c r="R44" i="56"/>
  <c r="K46" i="56"/>
  <c r="H45" i="56"/>
  <c r="J43" i="56"/>
  <c r="I47" i="56"/>
  <c r="I46" i="56"/>
  <c r="R43" i="56"/>
  <c r="Q47" i="56"/>
  <c r="I44" i="56"/>
  <c r="M47" i="56"/>
  <c r="K47" i="56"/>
  <c r="P45" i="56"/>
  <c r="L44" i="56"/>
  <c r="Q45" i="56"/>
  <c r="D44" i="56"/>
  <c r="R45" i="56"/>
  <c r="E47" i="56"/>
  <c r="Q46" i="56"/>
  <c r="K43" i="56"/>
  <c r="O44" i="56"/>
  <c r="G46" i="56"/>
  <c r="C43" i="56"/>
  <c r="M44" i="56"/>
  <c r="E46" i="56"/>
  <c r="N47" i="56"/>
  <c r="K44" i="56"/>
  <c r="C45" i="56"/>
  <c r="C44" i="56"/>
  <c r="K45" i="56"/>
  <c r="E43" i="56"/>
  <c r="N43" i="56"/>
  <c r="P47" i="56"/>
  <c r="O46" i="56"/>
  <c r="L45" i="56"/>
  <c r="F45" i="56"/>
  <c r="O43" i="56"/>
  <c r="O17" i="58"/>
  <c r="M15" i="58"/>
  <c r="I34" i="25"/>
  <c r="F34" i="25"/>
  <c r="F46" i="56"/>
  <c r="I37" i="19"/>
  <c r="H34" i="19"/>
  <c r="R58" i="58"/>
  <c r="I19" i="58"/>
  <c r="E18" i="58"/>
  <c r="J18" i="58"/>
  <c r="D36" i="25"/>
  <c r="I35" i="25"/>
  <c r="Q44" i="56"/>
  <c r="D45" i="56"/>
  <c r="J45" i="56"/>
  <c r="Q35" i="19"/>
  <c r="N34" i="19"/>
  <c r="K34" i="19"/>
  <c r="H37" i="19"/>
  <c r="C36" i="19"/>
  <c r="O35" i="25"/>
  <c r="I33" i="19"/>
  <c r="F33" i="25"/>
  <c r="N35" i="19"/>
  <c r="I34" i="103"/>
  <c r="J33" i="103"/>
  <c r="L24" i="100"/>
  <c r="L27" i="100" s="1"/>
  <c r="H43" i="56"/>
  <c r="I36" i="98"/>
  <c r="J35" i="98"/>
  <c r="O89" i="98"/>
  <c r="H94" i="98"/>
  <c r="M16" i="98"/>
  <c r="M17" i="98" s="1"/>
  <c r="L17" i="98"/>
  <c r="J47" i="18"/>
  <c r="AK5" i="19"/>
  <c r="AL5" i="19"/>
  <c r="Y39" i="19"/>
  <c r="AQ39" i="19" s="1"/>
  <c r="D52" i="19"/>
  <c r="Y48" i="19" s="1"/>
  <c r="M47" i="19"/>
  <c r="P43" i="19"/>
  <c r="R44" i="19"/>
  <c r="I47" i="19"/>
  <c r="G47" i="19"/>
  <c r="J46" i="19"/>
  <c r="D47" i="19"/>
  <c r="I43" i="19"/>
  <c r="P45" i="19"/>
  <c r="C46" i="19"/>
  <c r="E47" i="19"/>
  <c r="G44" i="19"/>
  <c r="L43" i="19"/>
  <c r="M45" i="19"/>
  <c r="K46" i="19"/>
  <c r="Q45" i="19"/>
  <c r="K43" i="19"/>
  <c r="C44" i="19"/>
  <c r="O46" i="19"/>
  <c r="R47" i="19"/>
  <c r="K47" i="19"/>
  <c r="H45" i="19"/>
  <c r="J44" i="19"/>
  <c r="G46" i="19"/>
  <c r="G45" i="19"/>
  <c r="N47" i="19"/>
  <c r="Q43" i="19"/>
  <c r="O45" i="19"/>
  <c r="M43" i="19"/>
  <c r="C45" i="19"/>
  <c r="O43" i="19"/>
  <c r="P47" i="19"/>
  <c r="R43" i="19"/>
  <c r="E43" i="19"/>
  <c r="H47" i="19"/>
  <c r="N46" i="19"/>
  <c r="Q46" i="19"/>
  <c r="I44" i="19"/>
  <c r="O47" i="19"/>
  <c r="L45" i="19"/>
  <c r="K21" i="103"/>
  <c r="L21" i="103" s="1"/>
  <c r="M21" i="103" s="1"/>
  <c r="L35" i="100"/>
  <c r="L37" i="100" s="1"/>
  <c r="O113" i="103"/>
  <c r="E32" i="70"/>
  <c r="E34" i="70" s="1"/>
  <c r="C43" i="19"/>
  <c r="K45" i="19"/>
  <c r="I46" i="19"/>
  <c r="J45" i="19"/>
  <c r="N44" i="19"/>
  <c r="N43" i="19"/>
  <c r="M44" i="19"/>
  <c r="F44" i="19"/>
  <c r="O44" i="19"/>
  <c r="J35" i="25"/>
  <c r="J168" i="99"/>
  <c r="N168" i="99" s="1"/>
  <c r="C35" i="56"/>
  <c r="R34" i="56"/>
  <c r="L37" i="56"/>
  <c r="Q33" i="56"/>
  <c r="I33" i="56"/>
  <c r="H38" i="18"/>
  <c r="O36" i="18"/>
  <c r="P37" i="18"/>
  <c r="I36" i="18"/>
  <c r="I37" i="18"/>
  <c r="I35" i="18"/>
  <c r="O37" i="18"/>
  <c r="H37" i="18"/>
  <c r="Q38" i="18"/>
  <c r="G39" i="18"/>
  <c r="L39" i="18"/>
  <c r="R36" i="18"/>
  <c r="F39" i="18"/>
  <c r="N36" i="18"/>
  <c r="G36" i="18"/>
  <c r="M36" i="18"/>
  <c r="Q39" i="18"/>
  <c r="L38" i="18"/>
  <c r="P35" i="18"/>
  <c r="Z39" i="55"/>
  <c r="AR39" i="55" s="1"/>
  <c r="D54" i="25"/>
  <c r="L54" i="25"/>
  <c r="H54" i="25"/>
  <c r="P54" i="25"/>
  <c r="F54" i="25"/>
  <c r="M54" i="25"/>
  <c r="I54" i="25"/>
  <c r="C54" i="25"/>
  <c r="L191" i="99"/>
  <c r="L100" i="99"/>
  <c r="L92" i="99"/>
  <c r="L125" i="99" s="1"/>
  <c r="L41" i="19"/>
  <c r="AG32" i="19"/>
  <c r="AY32" i="19" s="1"/>
  <c r="AD15" i="55"/>
  <c r="AV15" i="55" s="1"/>
  <c r="I31" i="55"/>
  <c r="I41" i="55" s="1"/>
  <c r="D45" i="18"/>
  <c r="I13" i="98"/>
  <c r="J12" i="98"/>
  <c r="J39" i="98" s="1"/>
  <c r="I39" i="98"/>
  <c r="AA34" i="18"/>
  <c r="AS34" i="18" s="1"/>
  <c r="F43" i="18"/>
  <c r="K32" i="103"/>
  <c r="L31" i="103"/>
  <c r="L10" i="98"/>
  <c r="K11" i="98"/>
  <c r="AB5" i="19"/>
  <c r="AA32" i="19"/>
  <c r="AS32" i="19" s="1"/>
  <c r="F41" i="19"/>
  <c r="AA39" i="19" s="1"/>
  <c r="AS39" i="19" s="1"/>
  <c r="O98" i="103"/>
  <c r="N98" i="103"/>
  <c r="I30" i="103"/>
  <c r="I40" i="103"/>
  <c r="J29" i="103"/>
  <c r="AL32" i="56"/>
  <c r="BD32" i="56" s="1"/>
  <c r="Q41" i="56"/>
  <c r="AG5" i="19"/>
  <c r="AH5" i="19"/>
  <c r="N48" i="18"/>
  <c r="N45" i="18"/>
  <c r="Q49" i="18"/>
  <c r="O49" i="18"/>
  <c r="O48" i="18"/>
  <c r="M46" i="18"/>
  <c r="J49" i="18"/>
  <c r="C47" i="18"/>
  <c r="P45" i="18"/>
  <c r="H48" i="18"/>
  <c r="N49" i="18"/>
  <c r="K48" i="18"/>
  <c r="R47" i="18"/>
  <c r="M47" i="18"/>
  <c r="L48" i="18"/>
  <c r="P49" i="18"/>
  <c r="I49" i="18"/>
  <c r="P48" i="18"/>
  <c r="I47" i="18"/>
  <c r="G48" i="18"/>
  <c r="F45" i="18"/>
  <c r="K45" i="18"/>
  <c r="J45" i="18"/>
  <c r="E46" i="18"/>
  <c r="J48" i="18"/>
  <c r="G49" i="18"/>
  <c r="Q46" i="18"/>
  <c r="C45" i="18"/>
  <c r="J46" i="18"/>
  <c r="C49" i="18"/>
  <c r="C48" i="18"/>
  <c r="R46" i="18"/>
  <c r="D49" i="18"/>
  <c r="I46" i="18"/>
  <c r="N46" i="18"/>
  <c r="L47" i="18"/>
  <c r="G47" i="18"/>
  <c r="Q47" i="18"/>
  <c r="E49" i="18"/>
  <c r="O46" i="18"/>
  <c r="P47" i="18"/>
  <c r="R48" i="18"/>
  <c r="M45" i="18"/>
  <c r="C46" i="18"/>
  <c r="D48" i="18"/>
  <c r="Q45" i="18"/>
  <c r="K49" i="18"/>
  <c r="F48" i="18"/>
  <c r="E48" i="18"/>
  <c r="M49" i="18"/>
  <c r="O47" i="18"/>
  <c r="G46" i="18"/>
  <c r="L45" i="18"/>
  <c r="D47" i="18"/>
  <c r="N47" i="18"/>
  <c r="K47" i="18"/>
  <c r="R49" i="18"/>
  <c r="I48" i="18"/>
  <c r="G45" i="18"/>
  <c r="K46" i="18"/>
  <c r="F49" i="18"/>
  <c r="R45" i="18"/>
  <c r="Q48" i="18"/>
  <c r="H49" i="18"/>
  <c r="M48" i="18"/>
  <c r="L49" i="18"/>
  <c r="F46" i="18"/>
  <c r="H47" i="18"/>
  <c r="F47" i="18"/>
  <c r="O45" i="18"/>
  <c r="H45" i="18"/>
  <c r="L46" i="18"/>
  <c r="H46" i="18"/>
  <c r="K38" i="99"/>
  <c r="L37" i="99"/>
  <c r="E47" i="18"/>
  <c r="K10" i="99"/>
  <c r="J11" i="99"/>
  <c r="I34" i="99"/>
  <c r="I40" i="99"/>
  <c r="J33" i="99"/>
  <c r="I22" i="18"/>
  <c r="R24" i="18"/>
  <c r="W2" i="18"/>
  <c r="L22" i="18" s="1"/>
  <c r="J21" i="18"/>
  <c r="M26" i="18"/>
  <c r="G20" i="18"/>
  <c r="I26" i="18"/>
  <c r="F25" i="18"/>
  <c r="K24" i="18"/>
  <c r="M25" i="18"/>
  <c r="K22" i="18"/>
  <c r="K21" i="18"/>
  <c r="Q21" i="18"/>
  <c r="J26" i="18"/>
  <c r="G23" i="18"/>
  <c r="R21" i="18"/>
  <c r="L25" i="18"/>
  <c r="P25" i="18"/>
  <c r="Y5" i="55"/>
  <c r="AH15" i="19"/>
  <c r="AZ15" i="19" s="1"/>
  <c r="M31" i="19"/>
  <c r="E52" i="56"/>
  <c r="Z48" i="56" s="1"/>
  <c r="Z39" i="56"/>
  <c r="AR39" i="56" s="1"/>
  <c r="I11" i="103"/>
  <c r="J10" i="103"/>
  <c r="N93" i="98"/>
  <c r="N94" i="98" s="1"/>
  <c r="N123" i="98" s="1"/>
  <c r="H41" i="98"/>
  <c r="M24" i="98"/>
  <c r="M27" i="98" s="1"/>
  <c r="L27" i="98"/>
  <c r="L47" i="99"/>
  <c r="O31" i="25"/>
  <c r="AJ16" i="25"/>
  <c r="BB15" i="25" s="1"/>
  <c r="J95" i="58"/>
  <c r="O94" i="58"/>
  <c r="G90" i="58"/>
  <c r="D94" i="58"/>
  <c r="K93" i="58"/>
  <c r="G91" i="58"/>
  <c r="P48" i="58"/>
  <c r="F52" i="58"/>
  <c r="N50" i="58"/>
  <c r="K52" i="58"/>
  <c r="G52" i="58"/>
  <c r="R51" i="58"/>
  <c r="N49" i="58"/>
  <c r="R48" i="58"/>
  <c r="D52" i="58"/>
  <c r="C50" i="58"/>
  <c r="H49" i="58"/>
  <c r="G50" i="58"/>
  <c r="F49" i="58"/>
  <c r="R49" i="58"/>
  <c r="K27" i="99"/>
  <c r="L31" i="55"/>
  <c r="AG15" i="55"/>
  <c r="AY15" i="55" s="1"/>
  <c r="I17" i="103"/>
  <c r="J16" i="103"/>
  <c r="G54" i="25"/>
  <c r="Q54" i="25"/>
  <c r="AL32" i="25"/>
  <c r="BD32" i="25" s="1"/>
  <c r="Q41" i="25"/>
  <c r="Q43" i="18"/>
  <c r="AL34" i="18"/>
  <c r="BD34" i="18" s="1"/>
  <c r="AK32" i="55"/>
  <c r="BC32" i="55" s="1"/>
  <c r="P41" i="55"/>
  <c r="O41" i="55"/>
  <c r="AJ32" i="55"/>
  <c r="BB32" i="55" s="1"/>
  <c r="AJ15" i="19"/>
  <c r="BB15" i="19" s="1"/>
  <c r="O31" i="19"/>
  <c r="N41" i="56"/>
  <c r="AI32" i="56"/>
  <c r="BA32" i="56" s="1"/>
  <c r="N41" i="19"/>
  <c r="AI32" i="19"/>
  <c r="BA32" i="19" s="1"/>
  <c r="N43" i="18"/>
  <c r="AI34" i="18"/>
  <c r="BA34" i="18" s="1"/>
  <c r="AH32" i="56"/>
  <c r="AZ32" i="56" s="1"/>
  <c r="AH34" i="18"/>
  <c r="AZ34" i="18" s="1"/>
  <c r="M43" i="18"/>
  <c r="L41" i="25"/>
  <c r="AG32" i="25"/>
  <c r="AY32" i="25" s="1"/>
  <c r="L43" i="18"/>
  <c r="AG34" i="18"/>
  <c r="AY34" i="18" s="1"/>
  <c r="K41" i="19"/>
  <c r="AF32" i="19"/>
  <c r="AX32" i="19" s="1"/>
  <c r="AF39" i="56"/>
  <c r="AX39" i="56" s="1"/>
  <c r="K52" i="56"/>
  <c r="AF48" i="56" s="1"/>
  <c r="AF16" i="25"/>
  <c r="AX15" i="25" s="1"/>
  <c r="K31" i="25"/>
  <c r="J41" i="56"/>
  <c r="AE32" i="56"/>
  <c r="AW32" i="56" s="1"/>
  <c r="J41" i="55"/>
  <c r="AE32" i="55"/>
  <c r="AW32" i="55" s="1"/>
  <c r="AD32" i="56"/>
  <c r="I41" i="56"/>
  <c r="AD32" i="55"/>
  <c r="AV32" i="55" s="1"/>
  <c r="AD39" i="19"/>
  <c r="AV39" i="19" s="1"/>
  <c r="I52" i="19"/>
  <c r="AD48" i="19" s="1"/>
  <c r="G41" i="25"/>
  <c r="AB32" i="25"/>
  <c r="AT32" i="25" s="1"/>
  <c r="G41" i="56"/>
  <c r="AB32" i="56"/>
  <c r="AT32" i="56" s="1"/>
  <c r="G41" i="19"/>
  <c r="AB39" i="19" s="1"/>
  <c r="AT39" i="19" s="1"/>
  <c r="Y32" i="25"/>
  <c r="AQ32" i="25" s="1"/>
  <c r="D41" i="25"/>
  <c r="X32" i="56"/>
  <c r="AP32" i="56" s="1"/>
  <c r="C41" i="56"/>
  <c r="X32" i="19"/>
  <c r="AP32" i="19" s="1"/>
  <c r="C41" i="19"/>
  <c r="O34" i="56"/>
  <c r="I37" i="56"/>
  <c r="G33" i="56"/>
  <c r="Q35" i="56"/>
  <c r="R33" i="56"/>
  <c r="O33" i="56"/>
  <c r="P35" i="56"/>
  <c r="L35" i="56"/>
  <c r="K33" i="56"/>
  <c r="F35" i="56"/>
  <c r="L33" i="56"/>
  <c r="J36" i="56"/>
  <c r="F36" i="56"/>
  <c r="N34" i="56"/>
  <c r="H33" i="56"/>
  <c r="R35" i="56"/>
  <c r="P33" i="56"/>
  <c r="Q36" i="56"/>
  <c r="P34" i="56"/>
  <c r="K34" i="56"/>
  <c r="K35" i="56"/>
  <c r="P36" i="56"/>
  <c r="G35" i="56"/>
  <c r="E34" i="56"/>
  <c r="D35" i="56"/>
  <c r="N37" i="56"/>
  <c r="H37" i="56"/>
  <c r="E35" i="56"/>
  <c r="J33" i="56"/>
  <c r="J35" i="18"/>
  <c r="Q35" i="18"/>
  <c r="G34" i="25"/>
  <c r="H37" i="25"/>
  <c r="P36" i="19"/>
  <c r="L34" i="19"/>
  <c r="O33" i="19"/>
  <c r="K35" i="19"/>
  <c r="I39" i="18"/>
  <c r="H24" i="100"/>
  <c r="H27" i="100" s="1"/>
  <c r="H48" i="100"/>
  <c r="H50" i="100" s="1"/>
  <c r="AC32" i="56"/>
  <c r="AU32" i="56" s="1"/>
  <c r="H41" i="56"/>
  <c r="I9" i="103"/>
  <c r="J8" i="103"/>
  <c r="I39" i="103"/>
  <c r="K19" i="58"/>
  <c r="I15" i="58"/>
  <c r="Q13" i="58"/>
  <c r="R19" i="58"/>
  <c r="F19" i="58"/>
  <c r="E13" i="58"/>
  <c r="Z11" i="58" s="1"/>
  <c r="R15" i="58"/>
  <c r="G14" i="58"/>
  <c r="H16" i="58"/>
  <c r="L17" i="58"/>
  <c r="Q14" i="58"/>
  <c r="C16" i="58"/>
  <c r="K7" i="103"/>
  <c r="L6" i="103"/>
  <c r="K54" i="18"/>
  <c r="AF50" i="18" s="1"/>
  <c r="AF41" i="18"/>
  <c r="AX41" i="18" s="1"/>
  <c r="H35" i="100"/>
  <c r="H37" i="100" s="1"/>
  <c r="I101" i="103"/>
  <c r="J59" i="58"/>
  <c r="E59" i="58"/>
  <c r="K57" i="58"/>
  <c r="H60" i="58"/>
  <c r="I62" i="58"/>
  <c r="G62" i="58"/>
  <c r="Q59" i="58"/>
  <c r="E60" i="58"/>
  <c r="E61" i="58"/>
  <c r="M58" i="58"/>
  <c r="O92" i="103"/>
  <c r="J23" i="103"/>
  <c r="K20" i="103"/>
  <c r="J17" i="58"/>
  <c r="H19" i="58"/>
  <c r="C17" i="58"/>
  <c r="R17" i="58"/>
  <c r="R18" i="58"/>
  <c r="E14" i="58"/>
  <c r="P15" i="58"/>
  <c r="O18" i="58"/>
  <c r="M17" i="58"/>
  <c r="J16" i="58"/>
  <c r="J19" i="58"/>
  <c r="P14" i="58"/>
  <c r="N17" i="58"/>
  <c r="C14" i="58"/>
  <c r="L15" i="58"/>
  <c r="D18" i="58"/>
  <c r="D16" i="58"/>
  <c r="N14" i="58"/>
  <c r="C18" i="58"/>
  <c r="F17" i="58"/>
  <c r="K18" i="58"/>
  <c r="M13" i="58"/>
  <c r="O13" i="58"/>
  <c r="K16" i="58"/>
  <c r="P19" i="58"/>
  <c r="H32" i="70"/>
  <c r="H34" i="70" s="1"/>
  <c r="J45" i="25"/>
  <c r="F44" i="25"/>
  <c r="D45" i="19"/>
  <c r="E52" i="25"/>
  <c r="Z48" i="25" s="1"/>
  <c r="Z40" i="25"/>
  <c r="AR39" i="25" s="1"/>
  <c r="L100" i="98"/>
  <c r="M98" i="98"/>
  <c r="M100" i="98" s="1"/>
  <c r="O54" i="18"/>
  <c r="AJ50" i="18" s="1"/>
  <c r="AJ41" i="18"/>
  <c r="BB41" i="18" s="1"/>
  <c r="E54" i="55"/>
  <c r="AH39" i="56"/>
  <c r="AZ39" i="56" s="1"/>
  <c r="M52" i="56"/>
  <c r="AH48" i="56" s="1"/>
  <c r="AG5" i="55"/>
  <c r="AF5" i="55"/>
  <c r="K8" i="98"/>
  <c r="J9" i="98"/>
  <c r="AH16" i="25"/>
  <c r="AZ15" i="25" s="1"/>
  <c r="M31" i="25"/>
  <c r="AM5" i="55"/>
  <c r="AL5" i="55"/>
  <c r="M25" i="98"/>
  <c r="N25" i="98" s="1"/>
  <c r="J31" i="98"/>
  <c r="I32" i="98"/>
  <c r="I40" i="98"/>
  <c r="M57" i="58"/>
  <c r="H62" i="58"/>
  <c r="R60" i="58"/>
  <c r="R16" i="58"/>
  <c r="P17" i="58"/>
  <c r="M18" i="58"/>
  <c r="M16" i="58"/>
  <c r="H14" i="58"/>
  <c r="E17" i="58"/>
  <c r="W1" i="18"/>
  <c r="L11" i="18" s="1"/>
  <c r="M11" i="18"/>
  <c r="G11" i="18"/>
  <c r="E11" i="18"/>
  <c r="N36" i="25"/>
  <c r="W2" i="19"/>
  <c r="E23" i="19" s="1"/>
  <c r="D24" i="19"/>
  <c r="M19" i="19"/>
  <c r="F24" i="19"/>
  <c r="F21" i="19"/>
  <c r="Q22" i="19"/>
  <c r="L18" i="19"/>
  <c r="O21" i="19"/>
  <c r="I20" i="19"/>
  <c r="J18" i="19"/>
  <c r="M23" i="19"/>
  <c r="I22" i="19"/>
  <c r="K24" i="19"/>
  <c r="R19" i="19"/>
  <c r="J20" i="19"/>
  <c r="J23" i="19"/>
  <c r="D20" i="19"/>
  <c r="H23" i="19"/>
  <c r="D23" i="19"/>
  <c r="Q19" i="19"/>
  <c r="O19" i="19"/>
  <c r="M21" i="19"/>
  <c r="M20" i="19"/>
  <c r="K18" i="19"/>
  <c r="R23" i="19"/>
  <c r="R22" i="19"/>
  <c r="C18" i="19"/>
  <c r="C21" i="19"/>
  <c r="L24" i="19"/>
  <c r="P22" i="19"/>
  <c r="I24" i="19"/>
  <c r="K21" i="19"/>
  <c r="C19" i="19"/>
  <c r="R20" i="19"/>
  <c r="M18" i="19"/>
  <c r="F18" i="19"/>
  <c r="J19" i="99"/>
  <c r="K18" i="99"/>
  <c r="N34" i="25"/>
  <c r="H14" i="100"/>
  <c r="H16" i="100" s="1"/>
  <c r="I123" i="99"/>
  <c r="H100" i="99"/>
  <c r="H144" i="99" s="1"/>
  <c r="N144" i="99" s="1"/>
  <c r="H143" i="99"/>
  <c r="N143" i="99" s="1"/>
  <c r="H92" i="99"/>
  <c r="O91" i="99"/>
  <c r="N58" i="58"/>
  <c r="M63" i="58"/>
  <c r="Q61" i="58"/>
  <c r="N57" i="58"/>
  <c r="K61" i="58"/>
  <c r="P57" i="58"/>
  <c r="O58" i="58"/>
  <c r="J57" i="58"/>
  <c r="I60" i="58"/>
  <c r="F57" i="58"/>
  <c r="Q63" i="58"/>
  <c r="N61" i="58"/>
  <c r="G58" i="58"/>
  <c r="N62" i="58"/>
  <c r="J62" i="58"/>
  <c r="I63" i="58"/>
  <c r="Q62" i="58"/>
  <c r="P61" i="58"/>
  <c r="F58" i="58"/>
  <c r="I61" i="58"/>
  <c r="C61" i="58"/>
  <c r="L62" i="58"/>
  <c r="H61" i="58"/>
  <c r="O61" i="58"/>
  <c r="H59" i="58"/>
  <c r="E58" i="58"/>
  <c r="R63" i="58"/>
  <c r="M61" i="58"/>
  <c r="L61" i="58"/>
  <c r="C63" i="58"/>
  <c r="H58" i="58"/>
  <c r="K58" i="58"/>
  <c r="N59" i="58"/>
  <c r="R59" i="58"/>
  <c r="O60" i="58"/>
  <c r="N63" i="58"/>
  <c r="G60" i="58"/>
  <c r="F61" i="58"/>
  <c r="O62" i="58"/>
  <c r="C58" i="58"/>
  <c r="O57" i="58"/>
  <c r="C60" i="58"/>
  <c r="M62" i="58"/>
  <c r="L60" i="58"/>
  <c r="C59" i="58"/>
  <c r="K63" i="58"/>
  <c r="F62" i="58"/>
  <c r="P62" i="58"/>
  <c r="N60" i="58"/>
  <c r="I57" i="58"/>
  <c r="P59" i="58"/>
  <c r="I59" i="58"/>
  <c r="F59" i="58"/>
  <c r="D58" i="58"/>
  <c r="O59" i="58"/>
  <c r="P58" i="58"/>
  <c r="Q58" i="58"/>
  <c r="E63" i="58"/>
  <c r="D61" i="58"/>
  <c r="J61" i="58"/>
  <c r="D59" i="58"/>
  <c r="P63" i="58"/>
  <c r="O63" i="58"/>
  <c r="J58" i="58"/>
  <c r="L58" i="58"/>
  <c r="R62" i="58"/>
  <c r="G59" i="58"/>
  <c r="H63" i="58"/>
  <c r="G61" i="58"/>
  <c r="E57" i="58"/>
  <c r="D62" i="58"/>
  <c r="C62" i="58"/>
  <c r="K62" i="58"/>
  <c r="W1" i="25"/>
  <c r="K12" i="25" s="1"/>
  <c r="N13" i="25"/>
  <c r="I11" i="25"/>
  <c r="O10" i="25"/>
  <c r="N7" i="25"/>
  <c r="G18" i="58"/>
  <c r="G33" i="18"/>
  <c r="AB17" i="18"/>
  <c r="AT17" i="18" s="1"/>
  <c r="R52" i="56"/>
  <c r="AM48" i="56" s="1"/>
  <c r="K25" i="103"/>
  <c r="J43" i="103"/>
  <c r="J97" i="103"/>
  <c r="J101" i="103" s="1"/>
  <c r="R57" i="58"/>
  <c r="D57" i="58"/>
  <c r="E62" i="58"/>
  <c r="F60" i="58"/>
  <c r="P60" i="58"/>
  <c r="Q57" i="58"/>
  <c r="Y15" i="56"/>
  <c r="AQ15" i="56" s="1"/>
  <c r="D31" i="56"/>
  <c r="J117" i="103"/>
  <c r="O117" i="103" s="1"/>
  <c r="O94" i="103"/>
  <c r="C43" i="55"/>
  <c r="D44" i="55"/>
  <c r="I46" i="55"/>
  <c r="L45" i="55"/>
  <c r="Q44" i="55"/>
  <c r="P47" i="55"/>
  <c r="Q45" i="55"/>
  <c r="M46" i="55"/>
  <c r="K47" i="55"/>
  <c r="M44" i="55"/>
  <c r="R45" i="55"/>
  <c r="F46" i="55"/>
  <c r="H44" i="55"/>
  <c r="H45" i="55"/>
  <c r="L44" i="55"/>
  <c r="H43" i="55"/>
  <c r="M47" i="55"/>
  <c r="N44" i="55"/>
  <c r="M45" i="55"/>
  <c r="N43" i="55"/>
  <c r="P44" i="55"/>
  <c r="J45" i="55"/>
  <c r="H47" i="55"/>
  <c r="D45" i="55"/>
  <c r="G45" i="55"/>
  <c r="Q43" i="55"/>
  <c r="P46" i="55"/>
  <c r="J47" i="55"/>
  <c r="L47" i="55"/>
  <c r="L43" i="55"/>
  <c r="E45" i="55"/>
  <c r="N46" i="55"/>
  <c r="E47" i="55"/>
  <c r="K43" i="55"/>
  <c r="F44" i="55"/>
  <c r="M43" i="55"/>
  <c r="J44" i="55"/>
  <c r="C46" i="55"/>
  <c r="N45" i="55"/>
  <c r="I43" i="55"/>
  <c r="R44" i="55"/>
  <c r="R47" i="55"/>
  <c r="F45" i="55"/>
  <c r="F43" i="55"/>
  <c r="R46" i="55"/>
  <c r="G43" i="55"/>
  <c r="L46" i="55"/>
  <c r="D47" i="55"/>
  <c r="O45" i="55"/>
  <c r="I44" i="55"/>
  <c r="K44" i="55"/>
  <c r="O46" i="55"/>
  <c r="C44" i="55"/>
  <c r="I47" i="55"/>
  <c r="C45" i="55"/>
  <c r="Q47" i="55"/>
  <c r="G44" i="55"/>
  <c r="O47" i="55"/>
  <c r="N47" i="55"/>
  <c r="O43" i="55"/>
  <c r="I45" i="55"/>
  <c r="O44" i="55"/>
  <c r="C47" i="55"/>
  <c r="F47" i="55"/>
  <c r="J46" i="55"/>
  <c r="G47" i="55"/>
  <c r="K45" i="55"/>
  <c r="P43" i="55"/>
  <c r="G46" i="55"/>
  <c r="H46" i="55"/>
  <c r="Q46" i="55"/>
  <c r="D46" i="55"/>
  <c r="K46" i="55"/>
  <c r="P45" i="55"/>
  <c r="R43" i="55"/>
  <c r="J43" i="55"/>
  <c r="F18" i="58"/>
  <c r="K14" i="58"/>
  <c r="N16" i="58"/>
  <c r="R13" i="58"/>
  <c r="G19" i="58"/>
  <c r="N19" i="58"/>
  <c r="Q16" i="58"/>
  <c r="E15" i="58"/>
  <c r="F14" i="58"/>
  <c r="I13" i="58"/>
  <c r="D14" i="58"/>
  <c r="G15" i="58"/>
  <c r="K15" i="58"/>
  <c r="R14" i="58"/>
  <c r="L18" i="58"/>
  <c r="P16" i="58"/>
  <c r="Q17" i="58"/>
  <c r="P13" i="58"/>
  <c r="H18" i="58"/>
  <c r="H14" i="70"/>
  <c r="H16" i="70" s="1"/>
  <c r="P26" i="100"/>
  <c r="P28" i="100" s="1"/>
  <c r="N26" i="99"/>
  <c r="K21" i="99"/>
  <c r="J43" i="99"/>
  <c r="J123" i="99" s="1"/>
  <c r="J104" i="99"/>
  <c r="N104" i="98"/>
  <c r="I107" i="98"/>
  <c r="Q60" i="58"/>
  <c r="F63" i="58"/>
  <c r="J63" i="58"/>
  <c r="L59" i="58"/>
  <c r="R61" i="58"/>
  <c r="K59" i="58"/>
  <c r="D63" i="58"/>
  <c r="M59" i="58"/>
  <c r="L57" i="58"/>
  <c r="L63" i="58"/>
  <c r="E31" i="19"/>
  <c r="Z15" i="19"/>
  <c r="AR15" i="19" s="1"/>
  <c r="D9" i="25"/>
  <c r="H12" i="25"/>
  <c r="B10" i="74"/>
  <c r="F10" i="74" s="1"/>
  <c r="M10" i="74"/>
  <c r="K30" i="74"/>
  <c r="W2" i="56"/>
  <c r="I24" i="56" s="1"/>
  <c r="P21" i="56"/>
  <c r="J19" i="98"/>
  <c r="K18" i="98"/>
  <c r="N100" i="103"/>
  <c r="O100" i="103"/>
  <c r="H41" i="103"/>
  <c r="D43" i="55"/>
  <c r="W1" i="56"/>
  <c r="E10" i="56" s="1"/>
  <c r="L12" i="56"/>
  <c r="R13" i="56"/>
  <c r="D11" i="56"/>
  <c r="I12" i="56"/>
  <c r="P7" i="56"/>
  <c r="E7" i="56"/>
  <c r="M7" i="56"/>
  <c r="H12" i="56"/>
  <c r="R10" i="56"/>
  <c r="N12" i="56"/>
  <c r="F9" i="56"/>
  <c r="O12" i="56"/>
  <c r="D12" i="56"/>
  <c r="Q9" i="56"/>
  <c r="F8" i="56"/>
  <c r="R11" i="56"/>
  <c r="F12" i="56"/>
  <c r="H11" i="56"/>
  <c r="E8" i="56"/>
  <c r="J7" i="56"/>
  <c r="M9" i="56"/>
  <c r="L10" i="56"/>
  <c r="O8" i="56"/>
  <c r="Q8" i="56"/>
  <c r="O10" i="56"/>
  <c r="G12" i="56"/>
  <c r="G9" i="56"/>
  <c r="D9" i="56"/>
  <c r="F7" i="56"/>
  <c r="G16" i="58"/>
  <c r="E16" i="58"/>
  <c r="O14" i="58"/>
  <c r="Q18" i="58"/>
  <c r="N15" i="58"/>
  <c r="D17" i="58"/>
  <c r="I17" i="58"/>
  <c r="I14" i="58"/>
  <c r="J14" i="58"/>
  <c r="O19" i="58"/>
  <c r="I16" i="58"/>
  <c r="G13" i="58"/>
  <c r="AA11" i="58" s="1"/>
  <c r="N18" i="58"/>
  <c r="K17" i="58"/>
  <c r="N13" i="58"/>
  <c r="D15" i="58"/>
  <c r="D19" i="58"/>
  <c r="J13" i="58"/>
  <c r="E19" i="58"/>
  <c r="J15" i="58"/>
  <c r="C15" i="58"/>
  <c r="M19" i="58"/>
  <c r="L14" i="58"/>
  <c r="F15" i="58"/>
  <c r="L19" i="58"/>
  <c r="O107" i="99"/>
  <c r="N107" i="99"/>
  <c r="AE15" i="19"/>
  <c r="AW15" i="19" s="1"/>
  <c r="J31" i="19"/>
  <c r="E44" i="70"/>
  <c r="E46" i="70" s="1"/>
  <c r="N10" i="18"/>
  <c r="I10" i="18"/>
  <c r="H9" i="18"/>
  <c r="P14" i="18"/>
  <c r="J36" i="99"/>
  <c r="K35" i="99"/>
  <c r="AE5" i="55"/>
  <c r="AD5" i="55"/>
  <c r="N46" i="25"/>
  <c r="E24" i="19"/>
  <c r="G19" i="19"/>
  <c r="H24" i="19"/>
  <c r="C24" i="19"/>
  <c r="Q23" i="19"/>
  <c r="I21" i="19"/>
  <c r="K20" i="19"/>
  <c r="Q20" i="19"/>
  <c r="I19" i="19"/>
  <c r="D18" i="19"/>
  <c r="C20" i="19"/>
  <c r="J19" i="19"/>
  <c r="H19" i="19"/>
  <c r="H22" i="19"/>
  <c r="K41" i="55"/>
  <c r="AF32" i="55"/>
  <c r="AX32" i="55" s="1"/>
  <c r="E46" i="55"/>
  <c r="H41" i="25"/>
  <c r="AC32" i="25"/>
  <c r="AU32" i="25" s="1"/>
  <c r="L14" i="103"/>
  <c r="K15" i="103"/>
  <c r="H45" i="98" l="1"/>
  <c r="H101" i="98" s="1"/>
  <c r="AM32" i="25"/>
  <c r="BE32" i="25" s="1"/>
  <c r="R41" i="25"/>
  <c r="G52" i="19"/>
  <c r="AB48" i="19" s="1"/>
  <c r="AH11" i="58"/>
  <c r="M9" i="18"/>
  <c r="I14" i="18"/>
  <c r="P22" i="18"/>
  <c r="E23" i="18"/>
  <c r="O23" i="18"/>
  <c r="N21" i="18"/>
  <c r="F26" i="18"/>
  <c r="L24" i="18"/>
  <c r="F23" i="18"/>
  <c r="Q25" i="18"/>
  <c r="N23" i="18"/>
  <c r="M20" i="18"/>
  <c r="C25" i="18"/>
  <c r="F21" i="18"/>
  <c r="I20" i="18"/>
  <c r="N22" i="18"/>
  <c r="C23" i="18"/>
  <c r="I21" i="18"/>
  <c r="E26" i="18"/>
  <c r="O20" i="18"/>
  <c r="H20" i="18"/>
  <c r="R25" i="18"/>
  <c r="J22" i="18"/>
  <c r="O25" i="18"/>
  <c r="C22" i="18"/>
  <c r="G22" i="18"/>
  <c r="I23" i="18"/>
  <c r="L20" i="18"/>
  <c r="Q26" i="18"/>
  <c r="Q23" i="18"/>
  <c r="M23" i="18"/>
  <c r="P26" i="18"/>
  <c r="N24" i="18"/>
  <c r="E22" i="18"/>
  <c r="R26" i="18"/>
  <c r="N52" i="25"/>
  <c r="AI48" i="25" s="1"/>
  <c r="AI40" i="25"/>
  <c r="BA39" i="25" s="1"/>
  <c r="AE32" i="25"/>
  <c r="AW32" i="25" s="1"/>
  <c r="J41" i="25"/>
  <c r="J43" i="18"/>
  <c r="AE34" i="18"/>
  <c r="AW34" i="18" s="1"/>
  <c r="F13" i="18"/>
  <c r="F22" i="18"/>
  <c r="I24" i="18"/>
  <c r="O21" i="18"/>
  <c r="AH39" i="55"/>
  <c r="AZ39" i="55" s="1"/>
  <c r="M52" i="55"/>
  <c r="AH48" i="55" s="1"/>
  <c r="F41" i="56"/>
  <c r="AA32" i="56"/>
  <c r="AS32" i="56" s="1"/>
  <c r="AG11" i="58"/>
  <c r="G47" i="56"/>
  <c r="J47" i="56"/>
  <c r="O47" i="56"/>
  <c r="J46" i="56"/>
  <c r="E45" i="18"/>
  <c r="N19" i="56"/>
  <c r="G24" i="56"/>
  <c r="O22" i="56"/>
  <c r="Z5" i="56"/>
  <c r="Q13" i="56"/>
  <c r="F13" i="56"/>
  <c r="N8" i="56"/>
  <c r="E9" i="56"/>
  <c r="H10" i="56"/>
  <c r="N10" i="56"/>
  <c r="R9" i="56"/>
  <c r="C7" i="56"/>
  <c r="E20" i="19"/>
  <c r="M22" i="19"/>
  <c r="E21" i="19"/>
  <c r="R24" i="19"/>
  <c r="G22" i="19"/>
  <c r="Q21" i="19"/>
  <c r="G12" i="25"/>
  <c r="R13" i="25"/>
  <c r="E20" i="25"/>
  <c r="J23" i="25"/>
  <c r="Q20" i="25"/>
  <c r="F19" i="25"/>
  <c r="N23" i="25"/>
  <c r="C22" i="25"/>
  <c r="F22" i="25"/>
  <c r="I18" i="25"/>
  <c r="P24" i="25"/>
  <c r="O22" i="25"/>
  <c r="K23" i="25"/>
  <c r="F24" i="25"/>
  <c r="J24" i="25"/>
  <c r="M20" i="25"/>
  <c r="G24" i="25"/>
  <c r="R19" i="25"/>
  <c r="R22" i="25"/>
  <c r="P20" i="25"/>
  <c r="C24" i="25"/>
  <c r="J22" i="25"/>
  <c r="Q18" i="25"/>
  <c r="M21" i="25"/>
  <c r="L23" i="25"/>
  <c r="R24" i="25"/>
  <c r="N21" i="25"/>
  <c r="I19" i="25"/>
  <c r="M22" i="25"/>
  <c r="D24" i="25"/>
  <c r="R21" i="25"/>
  <c r="P23" i="25"/>
  <c r="O21" i="25"/>
  <c r="E19" i="25"/>
  <c r="J20" i="25"/>
  <c r="G20" i="25"/>
  <c r="M18" i="25"/>
  <c r="H19" i="25"/>
  <c r="D20" i="25"/>
  <c r="O19" i="25"/>
  <c r="N18" i="25"/>
  <c r="I20" i="25"/>
  <c r="P19" i="25"/>
  <c r="I22" i="25"/>
  <c r="E18" i="25"/>
  <c r="L20" i="25"/>
  <c r="L18" i="25"/>
  <c r="H23" i="25"/>
  <c r="E22" i="25"/>
  <c r="D19" i="25"/>
  <c r="D18" i="25"/>
  <c r="O20" i="25"/>
  <c r="J18" i="25"/>
  <c r="R20" i="25"/>
  <c r="F23" i="25"/>
  <c r="N98" i="98"/>
  <c r="N100" i="98" s="1"/>
  <c r="M14" i="99"/>
  <c r="J40" i="99"/>
  <c r="N203" i="99"/>
  <c r="N100" i="99"/>
  <c r="I44" i="98"/>
  <c r="I120" i="98" s="1"/>
  <c r="K6" i="98"/>
  <c r="J7" i="98"/>
  <c r="J34" i="98"/>
  <c r="K33" i="98"/>
  <c r="L29" i="98"/>
  <c r="K30" i="98"/>
  <c r="M14" i="98"/>
  <c r="M15" i="98" s="1"/>
  <c r="L15" i="98"/>
  <c r="N15" i="98" s="1"/>
  <c r="N14" i="98"/>
  <c r="L29" i="99"/>
  <c r="K30" i="99"/>
  <c r="J39" i="99"/>
  <c r="J32" i="99"/>
  <c r="K31" i="99"/>
  <c r="M19" i="103"/>
  <c r="N19" i="103" s="1"/>
  <c r="N94" i="103"/>
  <c r="N117" i="103" s="1"/>
  <c r="L12" i="103"/>
  <c r="M12" i="103" s="1"/>
  <c r="M13" i="103" s="1"/>
  <c r="H45" i="99"/>
  <c r="H101" i="99" s="1"/>
  <c r="N17" i="98"/>
  <c r="H118" i="103"/>
  <c r="I45" i="25"/>
  <c r="G46" i="25"/>
  <c r="R45" i="25"/>
  <c r="C45" i="25"/>
  <c r="K47" i="25"/>
  <c r="R43" i="25"/>
  <c r="E43" i="25"/>
  <c r="O45" i="25"/>
  <c r="E47" i="25"/>
  <c r="K43" i="25"/>
  <c r="L45" i="25"/>
  <c r="D46" i="25"/>
  <c r="J47" i="25"/>
  <c r="E45" i="25"/>
  <c r="K46" i="25"/>
  <c r="E46" i="25"/>
  <c r="C47" i="25"/>
  <c r="M46" i="25"/>
  <c r="H47" i="25"/>
  <c r="K45" i="25"/>
  <c r="R47" i="25"/>
  <c r="M45" i="25"/>
  <c r="O47" i="25"/>
  <c r="L43" i="25"/>
  <c r="L46" i="25"/>
  <c r="C46" i="25"/>
  <c r="J46" i="25"/>
  <c r="I44" i="25"/>
  <c r="R46" i="25"/>
  <c r="N45" i="25"/>
  <c r="H44" i="25"/>
  <c r="I47" i="25"/>
  <c r="Q47" i="25"/>
  <c r="D44" i="25"/>
  <c r="M47" i="25"/>
  <c r="L44" i="25"/>
  <c r="P45" i="25"/>
  <c r="P43" i="25"/>
  <c r="G45" i="25"/>
  <c r="P47" i="25"/>
  <c r="O46" i="25"/>
  <c r="Q46" i="25"/>
  <c r="G47" i="25"/>
  <c r="P46" i="25"/>
  <c r="D45" i="25"/>
  <c r="R44" i="25"/>
  <c r="E44" i="25"/>
  <c r="O44" i="25"/>
  <c r="Q43" i="25"/>
  <c r="K44" i="25"/>
  <c r="J43" i="25"/>
  <c r="O43" i="25"/>
  <c r="H45" i="25"/>
  <c r="H46" i="25"/>
  <c r="F47" i="25"/>
  <c r="G43" i="25"/>
  <c r="P44" i="25"/>
  <c r="I43" i="25"/>
  <c r="F45" i="25"/>
  <c r="F46" i="25"/>
  <c r="C44" i="25"/>
  <c r="N47" i="25"/>
  <c r="D47" i="25"/>
  <c r="M44" i="25"/>
  <c r="L47" i="25"/>
  <c r="G44" i="25"/>
  <c r="J44" i="25"/>
  <c r="Q44" i="25"/>
  <c r="C43" i="25"/>
  <c r="I46" i="25"/>
  <c r="N43" i="25"/>
  <c r="F43" i="25"/>
  <c r="D43" i="25"/>
  <c r="M43" i="25"/>
  <c r="Q45" i="25"/>
  <c r="H43" i="25"/>
  <c r="N44" i="25"/>
  <c r="M20" i="98"/>
  <c r="M23" i="98" s="1"/>
  <c r="L23" i="98"/>
  <c r="N18" i="56"/>
  <c r="J19" i="56"/>
  <c r="E24" i="56"/>
  <c r="D20" i="56"/>
  <c r="D21" i="56"/>
  <c r="E9" i="25"/>
  <c r="L10" i="25"/>
  <c r="I8" i="25"/>
  <c r="P9" i="25"/>
  <c r="D8" i="25"/>
  <c r="C9" i="25"/>
  <c r="J9" i="25"/>
  <c r="P12" i="25"/>
  <c r="I12" i="18"/>
  <c r="J10" i="18"/>
  <c r="M12" i="18"/>
  <c r="E9" i="18"/>
  <c r="C23" i="19"/>
  <c r="K49" i="99"/>
  <c r="K118" i="99" s="1"/>
  <c r="G26" i="18"/>
  <c r="K26" i="18"/>
  <c r="H21" i="18"/>
  <c r="K20" i="18"/>
  <c r="E25" i="18"/>
  <c r="E20" i="18"/>
  <c r="N21" i="103"/>
  <c r="I44" i="99"/>
  <c r="I122" i="99" s="1"/>
  <c r="I126" i="99" s="1"/>
  <c r="L23" i="99"/>
  <c r="M20" i="99"/>
  <c r="L8" i="99"/>
  <c r="K9" i="99"/>
  <c r="AB32" i="55"/>
  <c r="AT32" i="55" s="1"/>
  <c r="G41" i="55"/>
  <c r="J38" i="98"/>
  <c r="K37" i="98"/>
  <c r="L9" i="25"/>
  <c r="R22" i="56"/>
  <c r="K22" i="56"/>
  <c r="E8" i="25"/>
  <c r="K7" i="25"/>
  <c r="R8" i="25"/>
  <c r="R10" i="25"/>
  <c r="J13" i="25"/>
  <c r="L12" i="25"/>
  <c r="F52" i="19"/>
  <c r="AA48" i="19" s="1"/>
  <c r="P54" i="18"/>
  <c r="AK50" i="18" s="1"/>
  <c r="AK41" i="18"/>
  <c r="BC41" i="18" s="1"/>
  <c r="L24" i="103"/>
  <c r="K27" i="103"/>
  <c r="I43" i="18"/>
  <c r="AD34" i="18"/>
  <c r="AV34" i="18" s="1"/>
  <c r="L38" i="103"/>
  <c r="M38" i="103" s="1"/>
  <c r="M37" i="103"/>
  <c r="N37" i="103" s="1"/>
  <c r="L41" i="56"/>
  <c r="AG32" i="56"/>
  <c r="AY32" i="56" s="1"/>
  <c r="AJ32" i="56"/>
  <c r="BB32" i="56" s="1"/>
  <c r="O41" i="56"/>
  <c r="B23" i="74"/>
  <c r="D22" i="74" s="1"/>
  <c r="I30" i="74"/>
  <c r="O30" i="74" s="1"/>
  <c r="L21" i="56"/>
  <c r="I19" i="56"/>
  <c r="P22" i="56"/>
  <c r="D11" i="25"/>
  <c r="M12" i="25"/>
  <c r="H22" i="56"/>
  <c r="F22" i="56"/>
  <c r="K18" i="56"/>
  <c r="G21" i="56"/>
  <c r="K24" i="56"/>
  <c r="L13" i="25"/>
  <c r="C10" i="25"/>
  <c r="Q11" i="25"/>
  <c r="M8" i="25"/>
  <c r="J11" i="25"/>
  <c r="D12" i="25"/>
  <c r="O24" i="19"/>
  <c r="K23" i="19"/>
  <c r="P24" i="19"/>
  <c r="H12" i="18"/>
  <c r="C15" i="18"/>
  <c r="Q12" i="18"/>
  <c r="D7" i="25"/>
  <c r="I44" i="103"/>
  <c r="I114" i="103" s="1"/>
  <c r="R22" i="18"/>
  <c r="M22" i="18"/>
  <c r="O26" i="18"/>
  <c r="I25" i="18"/>
  <c r="K25" i="18"/>
  <c r="X11" i="58"/>
  <c r="N48" i="99"/>
  <c r="AK32" i="19"/>
  <c r="BC32" i="19" s="1"/>
  <c r="P41" i="19"/>
  <c r="K180" i="99"/>
  <c r="N180" i="99" s="1"/>
  <c r="N179" i="99"/>
  <c r="N26" i="98"/>
  <c r="C9" i="18"/>
  <c r="J17" i="103"/>
  <c r="K16" i="103"/>
  <c r="L41" i="55"/>
  <c r="AG32" i="55"/>
  <c r="AY32" i="55" s="1"/>
  <c r="L13" i="103"/>
  <c r="M47" i="99"/>
  <c r="L49" i="99"/>
  <c r="L118" i="99" s="1"/>
  <c r="L10" i="99"/>
  <c r="K11" i="99"/>
  <c r="M37" i="99"/>
  <c r="N37" i="99" s="1"/>
  <c r="L38" i="99"/>
  <c r="M38" i="99" s="1"/>
  <c r="M31" i="103"/>
  <c r="N31" i="103" s="1"/>
  <c r="L32" i="103"/>
  <c r="M32" i="103" s="1"/>
  <c r="K33" i="103"/>
  <c r="J34" i="103"/>
  <c r="L21" i="98"/>
  <c r="K103" i="98"/>
  <c r="K107" i="98" s="1"/>
  <c r="K43" i="98"/>
  <c r="K121" i="98" s="1"/>
  <c r="O15" i="18"/>
  <c r="L23" i="56"/>
  <c r="N23" i="56"/>
  <c r="P18" i="56"/>
  <c r="J20" i="56"/>
  <c r="K20" i="56"/>
  <c r="M19" i="56"/>
  <c r="G19" i="56"/>
  <c r="Q22" i="56"/>
  <c r="N24" i="56"/>
  <c r="M13" i="18"/>
  <c r="R11" i="18"/>
  <c r="H11" i="18"/>
  <c r="C12" i="18"/>
  <c r="D9" i="18"/>
  <c r="P11" i="18"/>
  <c r="F10" i="18"/>
  <c r="Q15" i="18"/>
  <c r="G18" i="25"/>
  <c r="H18" i="25"/>
  <c r="C20" i="25"/>
  <c r="L9" i="56"/>
  <c r="R8" i="56"/>
  <c r="P10" i="56"/>
  <c r="K13" i="56"/>
  <c r="J8" i="56"/>
  <c r="C9" i="56"/>
  <c r="K11" i="56"/>
  <c r="M13" i="56"/>
  <c r="I10" i="56"/>
  <c r="N7" i="56"/>
  <c r="AH5" i="56" s="1"/>
  <c r="O24" i="56"/>
  <c r="M22" i="56"/>
  <c r="L22" i="56"/>
  <c r="E21" i="56"/>
  <c r="M21" i="56"/>
  <c r="N22" i="56"/>
  <c r="H19" i="56"/>
  <c r="E10" i="18"/>
  <c r="D15" i="18"/>
  <c r="D13" i="18"/>
  <c r="F12" i="18"/>
  <c r="K13" i="18"/>
  <c r="K11" i="18"/>
  <c r="O14" i="18"/>
  <c r="M14" i="18"/>
  <c r="K12" i="18"/>
  <c r="L15" i="18"/>
  <c r="C14" i="18"/>
  <c r="P9" i="18"/>
  <c r="F14" i="18"/>
  <c r="I41" i="99"/>
  <c r="D12" i="18"/>
  <c r="F11" i="25"/>
  <c r="F41" i="55"/>
  <c r="F52" i="55" s="1"/>
  <c r="AA48" i="55" s="1"/>
  <c r="N24" i="98"/>
  <c r="H25" i="18"/>
  <c r="D22" i="18"/>
  <c r="D26" i="18"/>
  <c r="P21" i="18"/>
  <c r="H24" i="18"/>
  <c r="H26" i="18"/>
  <c r="H22" i="18"/>
  <c r="D21" i="18"/>
  <c r="D25" i="18"/>
  <c r="H23" i="18"/>
  <c r="F20" i="18"/>
  <c r="J20" i="18"/>
  <c r="Q20" i="18"/>
  <c r="J25" i="18"/>
  <c r="P20" i="18"/>
  <c r="N26" i="18"/>
  <c r="M21" i="18"/>
  <c r="G24" i="18"/>
  <c r="J24" i="18"/>
  <c r="C26" i="18"/>
  <c r="D20" i="18"/>
  <c r="J30" i="103"/>
  <c r="K29" i="103"/>
  <c r="J40" i="103"/>
  <c r="F54" i="18"/>
  <c r="AA50" i="18" s="1"/>
  <c r="AA41" i="18"/>
  <c r="AS41" i="18" s="1"/>
  <c r="J36" i="98"/>
  <c r="K35" i="98"/>
  <c r="N20" i="25"/>
  <c r="K20" i="25"/>
  <c r="C19" i="25"/>
  <c r="J19" i="25"/>
  <c r="L24" i="25"/>
  <c r="L21" i="25"/>
  <c r="F21" i="25"/>
  <c r="C18" i="25"/>
  <c r="E24" i="25"/>
  <c r="H21" i="25"/>
  <c r="P18" i="25"/>
  <c r="H22" i="25"/>
  <c r="E21" i="25"/>
  <c r="G22" i="25"/>
  <c r="I21" i="25"/>
  <c r="L22" i="25"/>
  <c r="F20" i="25"/>
  <c r="K19" i="25"/>
  <c r="O18" i="25"/>
  <c r="K18" i="25"/>
  <c r="N19" i="25"/>
  <c r="I24" i="25"/>
  <c r="F18" i="25"/>
  <c r="G21" i="25"/>
  <c r="G23" i="25"/>
  <c r="P21" i="25"/>
  <c r="D22" i="25"/>
  <c r="P41" i="25"/>
  <c r="AK32" i="25"/>
  <c r="BC32" i="25" s="1"/>
  <c r="AM32" i="55"/>
  <c r="BE32" i="55" s="1"/>
  <c r="R41" i="55"/>
  <c r="O13" i="18"/>
  <c r="J11" i="103"/>
  <c r="K10" i="103"/>
  <c r="AH32" i="19"/>
  <c r="AZ32" i="19" s="1"/>
  <c r="M41" i="19"/>
  <c r="L52" i="19"/>
  <c r="AG48" i="19" s="1"/>
  <c r="AG39" i="19"/>
  <c r="AY39" i="19" s="1"/>
  <c r="H123" i="98"/>
  <c r="O123" i="98" s="1"/>
  <c r="O91" i="98"/>
  <c r="AL39" i="19"/>
  <c r="BD39" i="19" s="1"/>
  <c r="Q52" i="19"/>
  <c r="AL48" i="19" s="1"/>
  <c r="J7" i="99"/>
  <c r="K6" i="99"/>
  <c r="L12" i="18"/>
  <c r="Q11" i="18"/>
  <c r="E13" i="18"/>
  <c r="C20" i="56"/>
  <c r="C24" i="56"/>
  <c r="Q24" i="56"/>
  <c r="F18" i="56"/>
  <c r="L20" i="56"/>
  <c r="O21" i="56"/>
  <c r="F24" i="56"/>
  <c r="I21" i="56"/>
  <c r="Q19" i="56"/>
  <c r="R21" i="56"/>
  <c r="H23" i="56"/>
  <c r="H18" i="56"/>
  <c r="M10" i="18"/>
  <c r="Q14" i="18"/>
  <c r="Q13" i="18"/>
  <c r="J15" i="18"/>
  <c r="D14" i="18"/>
  <c r="P12" i="18"/>
  <c r="P13" i="18"/>
  <c r="I13" i="18"/>
  <c r="L13" i="18"/>
  <c r="K10" i="18"/>
  <c r="G11" i="56"/>
  <c r="O13" i="56"/>
  <c r="Q10" i="56"/>
  <c r="P8" i="56"/>
  <c r="K7" i="56"/>
  <c r="E12" i="56"/>
  <c r="J11" i="56"/>
  <c r="O7" i="56"/>
  <c r="AJ5" i="56" s="1"/>
  <c r="E20" i="56"/>
  <c r="I22" i="56"/>
  <c r="G22" i="56"/>
  <c r="M20" i="56"/>
  <c r="F21" i="56"/>
  <c r="O18" i="56"/>
  <c r="P19" i="56"/>
  <c r="E22" i="56"/>
  <c r="L19" i="56"/>
  <c r="R19" i="56"/>
  <c r="R20" i="56"/>
  <c r="J22" i="56"/>
  <c r="J18" i="56"/>
  <c r="G20" i="56"/>
  <c r="F11" i="18"/>
  <c r="G9" i="18"/>
  <c r="M15" i="18"/>
  <c r="I9" i="56"/>
  <c r="N13" i="56"/>
  <c r="D10" i="56"/>
  <c r="H8" i="56"/>
  <c r="C12" i="56"/>
  <c r="O11" i="56"/>
  <c r="C8" i="56"/>
  <c r="K9" i="56"/>
  <c r="F11" i="56"/>
  <c r="E13" i="56"/>
  <c r="N11" i="56"/>
  <c r="G8" i="56"/>
  <c r="D8" i="56"/>
  <c r="K8" i="56"/>
  <c r="P13" i="56"/>
  <c r="C10" i="56"/>
  <c r="L7" i="56"/>
  <c r="AF5" i="56" s="1"/>
  <c r="O19" i="56"/>
  <c r="M23" i="56"/>
  <c r="Q20" i="56"/>
  <c r="E23" i="56"/>
  <c r="H21" i="56"/>
  <c r="J23" i="56"/>
  <c r="L24" i="56"/>
  <c r="Q18" i="56"/>
  <c r="R24" i="56"/>
  <c r="G18" i="56"/>
  <c r="R18" i="56"/>
  <c r="C19" i="56"/>
  <c r="M18" i="56"/>
  <c r="O23" i="56"/>
  <c r="I23" i="56"/>
  <c r="N20" i="56"/>
  <c r="E18" i="56"/>
  <c r="E19" i="56"/>
  <c r="Q21" i="56"/>
  <c r="I20" i="56"/>
  <c r="AJ11" i="58"/>
  <c r="AC11" i="58"/>
  <c r="M9" i="25"/>
  <c r="O12" i="25"/>
  <c r="H10" i="25"/>
  <c r="K11" i="25"/>
  <c r="F9" i="25"/>
  <c r="P11" i="25"/>
  <c r="E11" i="25"/>
  <c r="I9" i="25"/>
  <c r="C11" i="25"/>
  <c r="N16" i="98"/>
  <c r="D11" i="18"/>
  <c r="I15" i="18"/>
  <c r="R15" i="18"/>
  <c r="N11" i="18"/>
  <c r="P15" i="18"/>
  <c r="N15" i="18"/>
  <c r="R9" i="18"/>
  <c r="N9" i="18"/>
  <c r="AH7" i="18" s="1"/>
  <c r="F15" i="18"/>
  <c r="H14" i="18"/>
  <c r="J11" i="18"/>
  <c r="E12" i="18"/>
  <c r="R14" i="18"/>
  <c r="J14" i="18"/>
  <c r="P10" i="25"/>
  <c r="K15" i="18"/>
  <c r="O8" i="25"/>
  <c r="Y11" i="58"/>
  <c r="Q12" i="25"/>
  <c r="M24" i="99"/>
  <c r="L27" i="99"/>
  <c r="AJ32" i="25"/>
  <c r="BB32" i="25" s="1"/>
  <c r="O41" i="25"/>
  <c r="N27" i="98"/>
  <c r="L21" i="18"/>
  <c r="R23" i="18"/>
  <c r="O22" i="18"/>
  <c r="E24" i="18"/>
  <c r="G21" i="18"/>
  <c r="Q22" i="18"/>
  <c r="N25" i="18"/>
  <c r="C20" i="18"/>
  <c r="R20" i="18"/>
  <c r="P23" i="18"/>
  <c r="K23" i="18"/>
  <c r="D23" i="18"/>
  <c r="L26" i="18"/>
  <c r="C24" i="18"/>
  <c r="N20" i="18"/>
  <c r="Q24" i="18"/>
  <c r="D24" i="18"/>
  <c r="E21" i="18"/>
  <c r="F24" i="18"/>
  <c r="L23" i="18"/>
  <c r="J23" i="18"/>
  <c r="G25" i="18"/>
  <c r="M24" i="18"/>
  <c r="P24" i="18"/>
  <c r="C21" i="18"/>
  <c r="O24" i="18"/>
  <c r="K33" i="99"/>
  <c r="J34" i="99"/>
  <c r="AL39" i="56"/>
  <c r="BD39" i="56" s="1"/>
  <c r="Q52" i="56"/>
  <c r="AL48" i="56" s="1"/>
  <c r="M10" i="98"/>
  <c r="L11" i="98"/>
  <c r="J13" i="98"/>
  <c r="K12" i="98"/>
  <c r="N191" i="99"/>
  <c r="L192" i="99"/>
  <c r="N192" i="99" s="1"/>
  <c r="H24" i="25"/>
  <c r="J17" i="99"/>
  <c r="K16" i="99"/>
  <c r="O23" i="25"/>
  <c r="C23" i="25"/>
  <c r="I23" i="25"/>
  <c r="P22" i="25"/>
  <c r="Q21" i="25"/>
  <c r="J21" i="25"/>
  <c r="Q23" i="25"/>
  <c r="M24" i="25"/>
  <c r="K24" i="25"/>
  <c r="D23" i="25"/>
  <c r="L19" i="25"/>
  <c r="N24" i="25"/>
  <c r="G19" i="25"/>
  <c r="Q24" i="25"/>
  <c r="H20" i="25"/>
  <c r="K21" i="25"/>
  <c r="N22" i="25"/>
  <c r="O24" i="25"/>
  <c r="K22" i="25"/>
  <c r="Q19" i="25"/>
  <c r="M23" i="25"/>
  <c r="M19" i="25"/>
  <c r="R18" i="25"/>
  <c r="D21" i="25"/>
  <c r="C21" i="25"/>
  <c r="K35" i="103"/>
  <c r="J36" i="103"/>
  <c r="E23" i="25"/>
  <c r="R23" i="25"/>
  <c r="Q52" i="25"/>
  <c r="AL48" i="25" s="1"/>
  <c r="AL40" i="25"/>
  <c r="BD39" i="25" s="1"/>
  <c r="AL41" i="18"/>
  <c r="BD41" i="18" s="1"/>
  <c r="Q54" i="18"/>
  <c r="AL50" i="18" s="1"/>
  <c r="AK39" i="55"/>
  <c r="BC39" i="55" s="1"/>
  <c r="P52" i="55"/>
  <c r="AK48" i="55" s="1"/>
  <c r="O52" i="55"/>
  <c r="AJ48" i="55" s="1"/>
  <c r="AJ39" i="55"/>
  <c r="BB39" i="55" s="1"/>
  <c r="AJ32" i="19"/>
  <c r="BB32" i="19" s="1"/>
  <c r="O41" i="19"/>
  <c r="N52" i="19"/>
  <c r="AI48" i="19" s="1"/>
  <c r="AI39" i="19"/>
  <c r="BA39" i="19" s="1"/>
  <c r="N54" i="18"/>
  <c r="AI50" i="18" s="1"/>
  <c r="AI41" i="18"/>
  <c r="BA41" i="18" s="1"/>
  <c r="AI39" i="56"/>
  <c r="BA39" i="56" s="1"/>
  <c r="N52" i="56"/>
  <c r="AI48" i="56" s="1"/>
  <c r="M54" i="18"/>
  <c r="AH50" i="18" s="1"/>
  <c r="AH41" i="18"/>
  <c r="AZ41" i="18" s="1"/>
  <c r="AG41" i="18"/>
  <c r="AY41" i="18" s="1"/>
  <c r="L54" i="18"/>
  <c r="AG50" i="18" s="1"/>
  <c r="AG40" i="25"/>
  <c r="AY39" i="25" s="1"/>
  <c r="L52" i="25"/>
  <c r="AG48" i="25" s="1"/>
  <c r="AF32" i="25"/>
  <c r="AX32" i="25" s="1"/>
  <c r="K41" i="25"/>
  <c r="K52" i="19"/>
  <c r="AF48" i="19" s="1"/>
  <c r="AF39" i="19"/>
  <c r="AX39" i="19" s="1"/>
  <c r="J52" i="55"/>
  <c r="AE48" i="55" s="1"/>
  <c r="AE39" i="55"/>
  <c r="AW39" i="55" s="1"/>
  <c r="AE39" i="56"/>
  <c r="AW39" i="56" s="1"/>
  <c r="J52" i="56"/>
  <c r="AE48" i="56" s="1"/>
  <c r="AD39" i="56"/>
  <c r="I52" i="56"/>
  <c r="AD48" i="56" s="1"/>
  <c r="I52" i="55"/>
  <c r="AD48" i="55" s="1"/>
  <c r="AD39" i="55"/>
  <c r="AV39" i="55" s="1"/>
  <c r="G52" i="56"/>
  <c r="AB48" i="56" s="1"/>
  <c r="AB39" i="56"/>
  <c r="AT39" i="56" s="1"/>
  <c r="AB40" i="25"/>
  <c r="AT39" i="25" s="1"/>
  <c r="G52" i="25"/>
  <c r="AB48" i="25" s="1"/>
  <c r="Y40" i="25"/>
  <c r="AQ39" i="25" s="1"/>
  <c r="D52" i="25"/>
  <c r="Y48" i="25" s="1"/>
  <c r="C52" i="56"/>
  <c r="X48" i="56" s="1"/>
  <c r="X39" i="56"/>
  <c r="AP39" i="56" s="1"/>
  <c r="X39" i="19"/>
  <c r="AP39" i="19" s="1"/>
  <c r="C52" i="19"/>
  <c r="X48" i="19" s="1"/>
  <c r="O97" i="98"/>
  <c r="G43" i="18"/>
  <c r="AB34" i="18"/>
  <c r="AT34" i="18" s="1"/>
  <c r="K23" i="103"/>
  <c r="L20" i="103"/>
  <c r="J9" i="103"/>
  <c r="K8" i="103"/>
  <c r="J39" i="103"/>
  <c r="K36" i="99"/>
  <c r="L35" i="99"/>
  <c r="AD11" i="58"/>
  <c r="Q11" i="56"/>
  <c r="H9" i="56"/>
  <c r="M12" i="56"/>
  <c r="F10" i="56"/>
  <c r="R7" i="56"/>
  <c r="M10" i="56"/>
  <c r="P12" i="56"/>
  <c r="G10" i="56"/>
  <c r="P9" i="56"/>
  <c r="J13" i="56"/>
  <c r="Q7" i="56"/>
  <c r="AK5" i="56" s="1"/>
  <c r="D7" i="56"/>
  <c r="X5" i="56" s="1"/>
  <c r="N9" i="56"/>
  <c r="K19" i="98"/>
  <c r="L18" i="98"/>
  <c r="J21" i="56"/>
  <c r="E7" i="25"/>
  <c r="Y5" i="25" s="1"/>
  <c r="H9" i="25"/>
  <c r="D13" i="25"/>
  <c r="E12" i="25"/>
  <c r="Z32" i="19"/>
  <c r="AR32" i="19" s="1"/>
  <c r="E41" i="19"/>
  <c r="J108" i="99"/>
  <c r="K13" i="25"/>
  <c r="F7" i="25"/>
  <c r="Z5" i="25" s="1"/>
  <c r="C13" i="25"/>
  <c r="L25" i="103"/>
  <c r="K43" i="103"/>
  <c r="K115" i="103" s="1"/>
  <c r="K97" i="103"/>
  <c r="I10" i="25"/>
  <c r="K9" i="25"/>
  <c r="I13" i="25"/>
  <c r="K10" i="25"/>
  <c r="P7" i="25"/>
  <c r="G9" i="25"/>
  <c r="C8" i="25"/>
  <c r="M13" i="25"/>
  <c r="F13" i="25"/>
  <c r="P13" i="25"/>
  <c r="N12" i="25"/>
  <c r="G8" i="25"/>
  <c r="N11" i="25"/>
  <c r="J12" i="25"/>
  <c r="H125" i="99"/>
  <c r="O92" i="99"/>
  <c r="Q24" i="19"/>
  <c r="L21" i="19"/>
  <c r="L19" i="19"/>
  <c r="P19" i="19"/>
  <c r="L22" i="19"/>
  <c r="N21" i="19"/>
  <c r="P20" i="19"/>
  <c r="F19" i="19"/>
  <c r="R21" i="19"/>
  <c r="L20" i="19"/>
  <c r="N20" i="19"/>
  <c r="R18" i="19"/>
  <c r="O18" i="19"/>
  <c r="H21" i="19"/>
  <c r="D21" i="19"/>
  <c r="N18" i="19"/>
  <c r="P23" i="19"/>
  <c r="E18" i="19"/>
  <c r="E22" i="19"/>
  <c r="P18" i="19"/>
  <c r="G24" i="19"/>
  <c r="O22" i="19"/>
  <c r="P21" i="19"/>
  <c r="O23" i="19"/>
  <c r="Q18" i="19"/>
  <c r="I18" i="19"/>
  <c r="J22" i="19"/>
  <c r="D22" i="19"/>
  <c r="I9" i="18"/>
  <c r="AC7" i="18" s="1"/>
  <c r="F9" i="18"/>
  <c r="Q10" i="18"/>
  <c r="K9" i="18"/>
  <c r="G14" i="18"/>
  <c r="G15" i="18"/>
  <c r="J9" i="18"/>
  <c r="H13" i="18"/>
  <c r="C13" i="18"/>
  <c r="P10" i="18"/>
  <c r="O10" i="18"/>
  <c r="L9" i="18"/>
  <c r="AF7" i="18" s="1"/>
  <c r="H10" i="18"/>
  <c r="O12" i="18"/>
  <c r="C11" i="18"/>
  <c r="J12" i="18"/>
  <c r="H15" i="18"/>
  <c r="Q9" i="18"/>
  <c r="R10" i="18"/>
  <c r="E15" i="18"/>
  <c r="G12" i="18"/>
  <c r="R12" i="18"/>
  <c r="N14" i="18"/>
  <c r="N12" i="18"/>
  <c r="H11" i="25"/>
  <c r="C22" i="19"/>
  <c r="H18" i="19"/>
  <c r="G18" i="19"/>
  <c r="L14" i="18"/>
  <c r="D10" i="18"/>
  <c r="J13" i="18"/>
  <c r="L10" i="18"/>
  <c r="K8" i="25"/>
  <c r="G10" i="25"/>
  <c r="R9" i="25"/>
  <c r="AK11" i="58"/>
  <c r="AB11" i="58"/>
  <c r="N23" i="19"/>
  <c r="M14" i="103"/>
  <c r="M15" i="103" s="1"/>
  <c r="L15" i="103"/>
  <c r="J115" i="103"/>
  <c r="I41" i="98"/>
  <c r="J41" i="19"/>
  <c r="AE32" i="19"/>
  <c r="AW32" i="19" s="1"/>
  <c r="AE5" i="56"/>
  <c r="D41" i="56"/>
  <c r="Y32" i="56"/>
  <c r="AQ32" i="56" s="1"/>
  <c r="R11" i="25"/>
  <c r="N10" i="25"/>
  <c r="G7" i="25"/>
  <c r="G13" i="25"/>
  <c r="Q9" i="25"/>
  <c r="E13" i="25"/>
  <c r="L7" i="25"/>
  <c r="AF5" i="25" s="1"/>
  <c r="Q13" i="25"/>
  <c r="R7" i="25"/>
  <c r="O11" i="25"/>
  <c r="O9" i="25"/>
  <c r="H13" i="25"/>
  <c r="N9" i="25"/>
  <c r="K19" i="99"/>
  <c r="L18" i="99"/>
  <c r="AM7" i="18"/>
  <c r="M10" i="25"/>
  <c r="AH32" i="25"/>
  <c r="AZ32" i="25" s="1"/>
  <c r="M41" i="25"/>
  <c r="J21" i="19"/>
  <c r="G20" i="19"/>
  <c r="K19" i="19"/>
  <c r="Q10" i="25"/>
  <c r="F8" i="25"/>
  <c r="J7" i="25"/>
  <c r="AC39" i="56"/>
  <c r="AU39" i="56" s="1"/>
  <c r="H52" i="56"/>
  <c r="AC48" i="56" s="1"/>
  <c r="G10" i="18"/>
  <c r="G23" i="56"/>
  <c r="K52" i="55"/>
  <c r="AF48" i="55" s="1"/>
  <c r="AF39" i="55"/>
  <c r="AX39" i="55" s="1"/>
  <c r="H45" i="103"/>
  <c r="H95" i="103" s="1"/>
  <c r="D30" i="74"/>
  <c r="F30" i="74" s="1"/>
  <c r="R30" i="74" s="1"/>
  <c r="M11" i="74"/>
  <c r="M13" i="74" s="1"/>
  <c r="H52" i="25"/>
  <c r="AC48" i="25" s="1"/>
  <c r="AC40" i="25"/>
  <c r="AU39" i="25" s="1"/>
  <c r="AA7" i="18"/>
  <c r="AM11" i="58"/>
  <c r="AL11" i="58"/>
  <c r="AE11" i="58"/>
  <c r="AB7" i="18"/>
  <c r="J12" i="56"/>
  <c r="J9" i="56"/>
  <c r="H7" i="56"/>
  <c r="I8" i="56"/>
  <c r="L11" i="56"/>
  <c r="Q12" i="56"/>
  <c r="C13" i="56"/>
  <c r="K10" i="56"/>
  <c r="L8" i="56"/>
  <c r="I13" i="56"/>
  <c r="L13" i="56"/>
  <c r="O9" i="56"/>
  <c r="D13" i="56"/>
  <c r="H13" i="56"/>
  <c r="M8" i="56"/>
  <c r="I7" i="56"/>
  <c r="G13" i="56"/>
  <c r="R12" i="56"/>
  <c r="P11" i="56"/>
  <c r="E11" i="56"/>
  <c r="G7" i="56"/>
  <c r="AA5" i="56" s="1"/>
  <c r="K12" i="56"/>
  <c r="M11" i="56"/>
  <c r="I11" i="56"/>
  <c r="C11" i="56"/>
  <c r="O20" i="56"/>
  <c r="N21" i="56"/>
  <c r="K23" i="56"/>
  <c r="F23" i="56"/>
  <c r="C22" i="56"/>
  <c r="C21" i="56"/>
  <c r="I18" i="56"/>
  <c r="F19" i="56"/>
  <c r="R23" i="56"/>
  <c r="Q23" i="56"/>
  <c r="F20" i="56"/>
  <c r="L18" i="56"/>
  <c r="H20" i="56"/>
  <c r="C18" i="56"/>
  <c r="H24" i="56"/>
  <c r="D18" i="56"/>
  <c r="J24" i="56"/>
  <c r="C23" i="56"/>
  <c r="D24" i="56"/>
  <c r="K21" i="56"/>
  <c r="K19" i="56"/>
  <c r="D19" i="56"/>
  <c r="D22" i="56"/>
  <c r="P24" i="56"/>
  <c r="D23" i="56"/>
  <c r="P20" i="56"/>
  <c r="P23" i="56"/>
  <c r="M24" i="56"/>
  <c r="O13" i="25"/>
  <c r="Q8" i="25"/>
  <c r="G11" i="25"/>
  <c r="I12" i="25"/>
  <c r="L21" i="99"/>
  <c r="K43" i="99"/>
  <c r="K104" i="99"/>
  <c r="K108" i="99" s="1"/>
  <c r="H8" i="25"/>
  <c r="I7" i="25"/>
  <c r="M7" i="25"/>
  <c r="F10" i="25"/>
  <c r="C12" i="25"/>
  <c r="J10" i="25"/>
  <c r="O7" i="25"/>
  <c r="AI5" i="25" s="1"/>
  <c r="F12" i="25"/>
  <c r="P8" i="25"/>
  <c r="J8" i="25"/>
  <c r="L11" i="25"/>
  <c r="N8" i="25"/>
  <c r="L8" i="25"/>
  <c r="H7" i="25"/>
  <c r="AB5" i="25" s="1"/>
  <c r="M11" i="25"/>
  <c r="F22" i="19"/>
  <c r="G23" i="19"/>
  <c r="G21" i="19"/>
  <c r="H20" i="19"/>
  <c r="J24" i="19"/>
  <c r="N22" i="19"/>
  <c r="N19" i="19"/>
  <c r="D19" i="19"/>
  <c r="F23" i="19"/>
  <c r="O20" i="19"/>
  <c r="M24" i="19"/>
  <c r="E19" i="19"/>
  <c r="N24" i="19"/>
  <c r="I23" i="19"/>
  <c r="O9" i="18"/>
  <c r="E14" i="18"/>
  <c r="N13" i="18"/>
  <c r="G13" i="18"/>
  <c r="C10" i="18"/>
  <c r="I11" i="18"/>
  <c r="E10" i="25"/>
  <c r="J32" i="98"/>
  <c r="K31" i="98"/>
  <c r="J40" i="98"/>
  <c r="K9" i="98"/>
  <c r="L8" i="98"/>
  <c r="K22" i="19"/>
  <c r="F20" i="19"/>
  <c r="L23" i="19"/>
  <c r="K14" i="18"/>
  <c r="O11" i="18"/>
  <c r="R13" i="18"/>
  <c r="AI11" i="58"/>
  <c r="D10" i="25"/>
  <c r="Q7" i="25"/>
  <c r="C7" i="25"/>
  <c r="X5" i="25" s="1"/>
  <c r="R12" i="25"/>
  <c r="L7" i="103"/>
  <c r="M6" i="103"/>
  <c r="I41" i="103"/>
  <c r="J10" i="56"/>
  <c r="H108" i="98"/>
  <c r="AM40" i="25" l="1"/>
  <c r="BE39" i="25" s="1"/>
  <c r="R52" i="25"/>
  <c r="AM48" i="25" s="1"/>
  <c r="AA39" i="55"/>
  <c r="AS39" i="55" s="1"/>
  <c r="X7" i="18"/>
  <c r="Z7" i="18"/>
  <c r="J52" i="25"/>
  <c r="AE48" i="25" s="1"/>
  <c r="AE40" i="25"/>
  <c r="AW39" i="25" s="1"/>
  <c r="AA39" i="56"/>
  <c r="AS39" i="56" s="1"/>
  <c r="F52" i="56"/>
  <c r="AA48" i="56" s="1"/>
  <c r="AE41" i="18"/>
  <c r="AW41" i="18" s="1"/>
  <c r="J54" i="18"/>
  <c r="AE50" i="18" s="1"/>
  <c r="N20" i="98"/>
  <c r="M15" i="99"/>
  <c r="N15" i="99" s="1"/>
  <c r="N14" i="99"/>
  <c r="M29" i="98"/>
  <c r="N29" i="98" s="1"/>
  <c r="L30" i="98"/>
  <c r="M30" i="98" s="1"/>
  <c r="N30" i="98" s="1"/>
  <c r="L6" i="98"/>
  <c r="K7" i="98"/>
  <c r="K34" i="98"/>
  <c r="L33" i="98"/>
  <c r="K39" i="98"/>
  <c r="I45" i="98"/>
  <c r="I101" i="98" s="1"/>
  <c r="N23" i="98"/>
  <c r="L31" i="99"/>
  <c r="K32" i="99"/>
  <c r="I45" i="99"/>
  <c r="I101" i="99" s="1"/>
  <c r="I109" i="99" s="1"/>
  <c r="J41" i="99"/>
  <c r="M29" i="99"/>
  <c r="N29" i="99" s="1"/>
  <c r="L30" i="99"/>
  <c r="M30" i="99" s="1"/>
  <c r="N14" i="103"/>
  <c r="N12" i="103"/>
  <c r="N15" i="103"/>
  <c r="I45" i="103"/>
  <c r="N32" i="103"/>
  <c r="J44" i="99"/>
  <c r="J45" i="99" s="1"/>
  <c r="N13" i="103"/>
  <c r="AB39" i="55"/>
  <c r="AT39" i="55" s="1"/>
  <c r="G52" i="55"/>
  <c r="AB48" i="55" s="1"/>
  <c r="M23" i="99"/>
  <c r="N23" i="99" s="1"/>
  <c r="N20" i="99"/>
  <c r="AC5" i="56"/>
  <c r="AK7" i="18"/>
  <c r="M24" i="103"/>
  <c r="L27" i="103"/>
  <c r="AB5" i="56"/>
  <c r="AG5" i="56"/>
  <c r="L52" i="56"/>
  <c r="AG48" i="56" s="1"/>
  <c r="AG39" i="56"/>
  <c r="AY39" i="56" s="1"/>
  <c r="AD41" i="18"/>
  <c r="AV41" i="18" s="1"/>
  <c r="I54" i="18"/>
  <c r="AD50" i="18" s="1"/>
  <c r="K38" i="98"/>
  <c r="L37" i="98"/>
  <c r="AD5" i="25"/>
  <c r="Y7" i="18"/>
  <c r="P52" i="19"/>
  <c r="AK48" i="19" s="1"/>
  <c r="AK39" i="19"/>
  <c r="BC39" i="19" s="1"/>
  <c r="O52" i="56"/>
  <c r="AJ48" i="56" s="1"/>
  <c r="AJ39" i="56"/>
  <c r="BB39" i="56" s="1"/>
  <c r="M8" i="99"/>
  <c r="N8" i="99" s="1"/>
  <c r="L9" i="99"/>
  <c r="N9" i="99" s="1"/>
  <c r="N38" i="103"/>
  <c r="K17" i="99"/>
  <c r="L16" i="99"/>
  <c r="P52" i="25"/>
  <c r="AK48" i="25" s="1"/>
  <c r="AK40" i="25"/>
  <c r="BC39" i="25" s="1"/>
  <c r="M27" i="99"/>
  <c r="N27" i="99" s="1"/>
  <c r="N24" i="99"/>
  <c r="L6" i="99"/>
  <c r="K7" i="99"/>
  <c r="H124" i="98"/>
  <c r="N47" i="99"/>
  <c r="N49" i="99" s="1"/>
  <c r="N118" i="99" s="1"/>
  <c r="M49" i="99"/>
  <c r="M118" i="99" s="1"/>
  <c r="O118" i="99" s="1"/>
  <c r="AI7" i="18"/>
  <c r="AL7" i="18"/>
  <c r="AA5" i="25"/>
  <c r="AD7" i="18"/>
  <c r="K36" i="103"/>
  <c r="L35" i="103"/>
  <c r="N10" i="98"/>
  <c r="M11" i="98"/>
  <c r="N11" i="98" s="1"/>
  <c r="K34" i="99"/>
  <c r="L33" i="99"/>
  <c r="L40" i="99" s="1"/>
  <c r="K40" i="99"/>
  <c r="AJ40" i="25"/>
  <c r="BB39" i="25" s="1"/>
  <c r="O52" i="25"/>
  <c r="AJ48" i="25" s="1"/>
  <c r="L10" i="103"/>
  <c r="K11" i="103"/>
  <c r="L29" i="103"/>
  <c r="K30" i="103"/>
  <c r="K40" i="103"/>
  <c r="K34" i="103"/>
  <c r="L33" i="103"/>
  <c r="AG39" i="55"/>
  <c r="AY39" i="55" s="1"/>
  <c r="L52" i="55"/>
  <c r="AG48" i="55" s="1"/>
  <c r="N38" i="99"/>
  <c r="M52" i="19"/>
  <c r="AH48" i="19" s="1"/>
  <c r="AH39" i="19"/>
  <c r="AZ39" i="19" s="1"/>
  <c r="K36" i="98"/>
  <c r="L35" i="98"/>
  <c r="M21" i="98"/>
  <c r="N21" i="98" s="1"/>
  <c r="L103" i="98"/>
  <c r="L43" i="98"/>
  <c r="L121" i="98" s="1"/>
  <c r="K17" i="103"/>
  <c r="L16" i="103"/>
  <c r="K39" i="99"/>
  <c r="R52" i="55"/>
  <c r="AM48" i="55" s="1"/>
  <c r="AM39" i="55"/>
  <c r="BE39" i="55" s="1"/>
  <c r="J44" i="98"/>
  <c r="J120" i="98" s="1"/>
  <c r="J124" i="98" s="1"/>
  <c r="AG7" i="18"/>
  <c r="AJ5" i="25"/>
  <c r="J44" i="103"/>
  <c r="J114" i="103" s="1"/>
  <c r="L12" i="98"/>
  <c r="K13" i="98"/>
  <c r="AI5" i="56"/>
  <c r="L11" i="99"/>
  <c r="M10" i="99"/>
  <c r="AJ39" i="19"/>
  <c r="BB39" i="19" s="1"/>
  <c r="O52" i="19"/>
  <c r="AJ48" i="19" s="1"/>
  <c r="K52" i="25"/>
  <c r="AF48" i="25" s="1"/>
  <c r="AF40" i="25"/>
  <c r="AX39" i="25" s="1"/>
  <c r="L9" i="98"/>
  <c r="M8" i="98"/>
  <c r="N8" i="98" s="1"/>
  <c r="AD5" i="56"/>
  <c r="L19" i="98"/>
  <c r="M18" i="98"/>
  <c r="M19" i="98" s="1"/>
  <c r="L36" i="99"/>
  <c r="M35" i="99"/>
  <c r="N35" i="99" s="1"/>
  <c r="I124" i="98"/>
  <c r="AC5" i="25"/>
  <c r="L43" i="99"/>
  <c r="L123" i="99" s="1"/>
  <c r="M21" i="99"/>
  <c r="L104" i="99"/>
  <c r="AE5" i="25"/>
  <c r="M52" i="25"/>
  <c r="AH48" i="25" s="1"/>
  <c r="AH40" i="25"/>
  <c r="AZ39" i="25" s="1"/>
  <c r="L19" i="99"/>
  <c r="M18" i="99"/>
  <c r="N18" i="99"/>
  <c r="D52" i="56"/>
  <c r="Y48" i="56" s="1"/>
  <c r="Y39" i="56"/>
  <c r="AQ39" i="56" s="1"/>
  <c r="K101" i="103"/>
  <c r="E52" i="19"/>
  <c r="Z48" i="19" s="1"/>
  <c r="Z39" i="19"/>
  <c r="AR39" i="19" s="1"/>
  <c r="J41" i="103"/>
  <c r="AK5" i="25"/>
  <c r="H102" i="103"/>
  <c r="H103" i="103" s="1"/>
  <c r="AM5" i="25"/>
  <c r="AL5" i="25"/>
  <c r="AE39" i="19"/>
  <c r="AW39" i="19" s="1"/>
  <c r="J52" i="19"/>
  <c r="AE48" i="19" s="1"/>
  <c r="O125" i="99"/>
  <c r="H126" i="99"/>
  <c r="Y5" i="56"/>
  <c r="K9" i="103"/>
  <c r="L8" i="103"/>
  <c r="K39" i="103"/>
  <c r="K123" i="99"/>
  <c r="H102" i="99"/>
  <c r="H109" i="99"/>
  <c r="M7" i="103"/>
  <c r="N7" i="103" s="1"/>
  <c r="N6" i="103"/>
  <c r="L31" i="98"/>
  <c r="K40" i="98"/>
  <c r="K32" i="98"/>
  <c r="AG5" i="25"/>
  <c r="I118" i="103"/>
  <c r="J41" i="98"/>
  <c r="AH5" i="25"/>
  <c r="AE7" i="18"/>
  <c r="AJ7" i="18"/>
  <c r="L43" i="103"/>
  <c r="M25" i="103"/>
  <c r="L97" i="103"/>
  <c r="AM5" i="56"/>
  <c r="AL5" i="56"/>
  <c r="M20" i="103"/>
  <c r="L23" i="103"/>
  <c r="G54" i="18"/>
  <c r="AB50" i="18" s="1"/>
  <c r="AB41" i="18"/>
  <c r="AT41" i="18" s="1"/>
  <c r="H109" i="98"/>
  <c r="K44" i="98" l="1"/>
  <c r="K120" i="98" s="1"/>
  <c r="K124" i="98" s="1"/>
  <c r="I102" i="99"/>
  <c r="L39" i="99"/>
  <c r="L34" i="98"/>
  <c r="M34" i="98" s="1"/>
  <c r="N34" i="98" s="1"/>
  <c r="M33" i="98"/>
  <c r="N33" i="98" s="1"/>
  <c r="L7" i="98"/>
  <c r="M6" i="98"/>
  <c r="M7" i="98" s="1"/>
  <c r="N7" i="98" s="1"/>
  <c r="N30" i="99"/>
  <c r="L32" i="99"/>
  <c r="M31" i="99"/>
  <c r="N31" i="99" s="1"/>
  <c r="I95" i="103"/>
  <c r="I102" i="103" s="1"/>
  <c r="I103" i="103" s="1"/>
  <c r="J118" i="103"/>
  <c r="J122" i="99"/>
  <c r="J126" i="99" s="1"/>
  <c r="K41" i="99"/>
  <c r="M37" i="98"/>
  <c r="N37" i="98" s="1"/>
  <c r="L38" i="98"/>
  <c r="M38" i="98" s="1"/>
  <c r="M27" i="103"/>
  <c r="N27" i="103" s="1"/>
  <c r="N24" i="103"/>
  <c r="J45" i="103"/>
  <c r="M12" i="98"/>
  <c r="M13" i="98" s="1"/>
  <c r="L13" i="98"/>
  <c r="L107" i="98"/>
  <c r="M35" i="98"/>
  <c r="N35" i="98" s="1"/>
  <c r="L36" i="98"/>
  <c r="M36" i="98" s="1"/>
  <c r="N36" i="98" s="1"/>
  <c r="L39" i="98"/>
  <c r="M11" i="99"/>
  <c r="N10" i="99"/>
  <c r="M33" i="103"/>
  <c r="N33" i="103" s="1"/>
  <c r="L34" i="103"/>
  <c r="M33" i="99"/>
  <c r="N33" i="99" s="1"/>
  <c r="N40" i="99" s="1"/>
  <c r="L34" i="99"/>
  <c r="M34" i="99" s="1"/>
  <c r="N34" i="99" s="1"/>
  <c r="O49" i="99"/>
  <c r="L7" i="99"/>
  <c r="M6" i="99"/>
  <c r="L17" i="99"/>
  <c r="M16" i="99"/>
  <c r="L17" i="103"/>
  <c r="M16" i="103"/>
  <c r="M10" i="103"/>
  <c r="M11" i="103" s="1"/>
  <c r="L11" i="103"/>
  <c r="J45" i="98"/>
  <c r="J101" i="98" s="1"/>
  <c r="J108" i="98" s="1"/>
  <c r="J109" i="98" s="1"/>
  <c r="J125" i="98" s="1"/>
  <c r="J126" i="98" s="1"/>
  <c r="N11" i="99"/>
  <c r="K44" i="99"/>
  <c r="K122" i="99" s="1"/>
  <c r="K126" i="99" s="1"/>
  <c r="M43" i="98"/>
  <c r="O43" i="98" s="1"/>
  <c r="M103" i="98"/>
  <c r="M107" i="98" s="1"/>
  <c r="L30" i="103"/>
  <c r="M30" i="103" s="1"/>
  <c r="N30" i="103" s="1"/>
  <c r="M29" i="103"/>
  <c r="L40" i="103"/>
  <c r="L36" i="103"/>
  <c r="M36" i="103" s="1"/>
  <c r="N36" i="103" s="1"/>
  <c r="M35" i="103"/>
  <c r="N35" i="103" s="1"/>
  <c r="N19" i="98"/>
  <c r="M43" i="99"/>
  <c r="M104" i="99"/>
  <c r="K44" i="103"/>
  <c r="L101" i="103"/>
  <c r="L32" i="98"/>
  <c r="M32" i="98" s="1"/>
  <c r="L40" i="98"/>
  <c r="M31" i="98"/>
  <c r="H110" i="99"/>
  <c r="F146" i="99"/>
  <c r="M40" i="99"/>
  <c r="J101" i="99"/>
  <c r="M19" i="99"/>
  <c r="M36" i="99"/>
  <c r="N36" i="99" s="1"/>
  <c r="M23" i="103"/>
  <c r="N20" i="103"/>
  <c r="M97" i="103"/>
  <c r="M101" i="103" s="1"/>
  <c r="M43" i="103"/>
  <c r="M115" i="103" s="1"/>
  <c r="N25" i="103"/>
  <c r="N31" i="98"/>
  <c r="K41" i="98"/>
  <c r="K41" i="103"/>
  <c r="N21" i="99"/>
  <c r="N18" i="98"/>
  <c r="M9" i="98"/>
  <c r="I108" i="98"/>
  <c r="L115" i="103"/>
  <c r="L9" i="103"/>
  <c r="M8" i="103"/>
  <c r="N8" i="103" s="1"/>
  <c r="L39" i="103"/>
  <c r="L41" i="99"/>
  <c r="L108" i="99"/>
  <c r="N104" i="99"/>
  <c r="F158" i="99"/>
  <c r="I110" i="99"/>
  <c r="H125" i="98"/>
  <c r="H110" i="98"/>
  <c r="H119" i="103"/>
  <c r="H104" i="103"/>
  <c r="K45" i="98" l="1"/>
  <c r="K101" i="98" s="1"/>
  <c r="K108" i="98" s="1"/>
  <c r="K109" i="98" s="1"/>
  <c r="K125" i="98" s="1"/>
  <c r="K126" i="98" s="1"/>
  <c r="O104" i="98"/>
  <c r="N6" i="98"/>
  <c r="M32" i="99"/>
  <c r="N32" i="99"/>
  <c r="I119" i="103"/>
  <c r="I120" i="103" s="1"/>
  <c r="I104" i="103"/>
  <c r="J95" i="103"/>
  <c r="J102" i="103" s="1"/>
  <c r="J103" i="103" s="1"/>
  <c r="N97" i="103"/>
  <c r="N10" i="103"/>
  <c r="O43" i="103"/>
  <c r="N38" i="98"/>
  <c r="L44" i="99"/>
  <c r="L45" i="99" s="1"/>
  <c r="N43" i="103"/>
  <c r="N115" i="103" s="1"/>
  <c r="M39" i="98"/>
  <c r="N11" i="103"/>
  <c r="N13" i="98"/>
  <c r="M40" i="103"/>
  <c r="N29" i="103"/>
  <c r="N40" i="103" s="1"/>
  <c r="M17" i="99"/>
  <c r="N17" i="99" s="1"/>
  <c r="N16" i="99"/>
  <c r="L44" i="98"/>
  <c r="L41" i="98"/>
  <c r="N108" i="99"/>
  <c r="N101" i="103"/>
  <c r="M44" i="98"/>
  <c r="M120" i="98" s="1"/>
  <c r="M40" i="98"/>
  <c r="N103" i="98"/>
  <c r="M7" i="99"/>
  <c r="N7" i="99" s="1"/>
  <c r="N6" i="99"/>
  <c r="O100" i="98"/>
  <c r="K45" i="99"/>
  <c r="K101" i="99" s="1"/>
  <c r="M34" i="103"/>
  <c r="N34" i="103" s="1"/>
  <c r="M39" i="99"/>
  <c r="M41" i="99" s="1"/>
  <c r="O41" i="99" s="1"/>
  <c r="M17" i="103"/>
  <c r="N17" i="103" s="1"/>
  <c r="N16" i="103"/>
  <c r="N39" i="103" s="1"/>
  <c r="L44" i="103"/>
  <c r="L114" i="103" s="1"/>
  <c r="N32" i="98"/>
  <c r="N40" i="98"/>
  <c r="O101" i="103"/>
  <c r="M121" i="98"/>
  <c r="O121" i="98" s="1"/>
  <c r="N43" i="98"/>
  <c r="N121" i="98" s="1"/>
  <c r="N12" i="98"/>
  <c r="N39" i="98" s="1"/>
  <c r="H111" i="99"/>
  <c r="H146" i="99"/>
  <c r="N146" i="99" s="1"/>
  <c r="H127" i="99"/>
  <c r="H112" i="99"/>
  <c r="H151" i="99" s="1"/>
  <c r="N151" i="99" s="1"/>
  <c r="M9" i="103"/>
  <c r="N9" i="103" s="1"/>
  <c r="M39" i="103"/>
  <c r="O39" i="103" s="1"/>
  <c r="J110" i="98"/>
  <c r="K45" i="103"/>
  <c r="K95" i="103" s="1"/>
  <c r="O39" i="98"/>
  <c r="O40" i="99"/>
  <c r="M108" i="99"/>
  <c r="O108" i="99" s="1"/>
  <c r="O104" i="99"/>
  <c r="N23" i="103"/>
  <c r="J109" i="99"/>
  <c r="J102" i="99"/>
  <c r="K114" i="103"/>
  <c r="M123" i="99"/>
  <c r="N43" i="99"/>
  <c r="N123" i="99" s="1"/>
  <c r="O43" i="99"/>
  <c r="N9" i="98"/>
  <c r="N44" i="98" s="1"/>
  <c r="N120" i="98" s="1"/>
  <c r="I109" i="98"/>
  <c r="L41" i="103"/>
  <c r="O115" i="103"/>
  <c r="N19" i="99"/>
  <c r="O97" i="103"/>
  <c r="I112" i="99"/>
  <c r="I127" i="99"/>
  <c r="I158" i="99"/>
  <c r="N158" i="99" s="1"/>
  <c r="I111" i="99"/>
  <c r="H126" i="98"/>
  <c r="H120" i="103"/>
  <c r="O39" i="99" l="1"/>
  <c r="O40" i="103"/>
  <c r="M44" i="103"/>
  <c r="M114" i="103" s="1"/>
  <c r="O114" i="103" s="1"/>
  <c r="L122" i="99"/>
  <c r="L126" i="99" s="1"/>
  <c r="N44" i="103"/>
  <c r="N114" i="103" s="1"/>
  <c r="N118" i="103" s="1"/>
  <c r="N41" i="98"/>
  <c r="N124" i="98"/>
  <c r="N39" i="99"/>
  <c r="N41" i="99" s="1"/>
  <c r="O44" i="98"/>
  <c r="L118" i="103"/>
  <c r="L120" i="98"/>
  <c r="L124" i="98" s="1"/>
  <c r="K102" i="99"/>
  <c r="K109" i="99"/>
  <c r="N41" i="103"/>
  <c r="O40" i="98"/>
  <c r="O117" i="99"/>
  <c r="L45" i="98"/>
  <c r="L101" i="98" s="1"/>
  <c r="L108" i="98" s="1"/>
  <c r="M44" i="99"/>
  <c r="N44" i="99"/>
  <c r="N122" i="99" s="1"/>
  <c r="N107" i="98"/>
  <c r="L45" i="103"/>
  <c r="M41" i="98"/>
  <c r="M45" i="98" s="1"/>
  <c r="M101" i="98" s="1"/>
  <c r="M108" i="98" s="1"/>
  <c r="M109" i="98" s="1"/>
  <c r="M125" i="98" s="1"/>
  <c r="N45" i="98"/>
  <c r="N101" i="98" s="1"/>
  <c r="N108" i="98" s="1"/>
  <c r="K110" i="98"/>
  <c r="I125" i="98"/>
  <c r="I110" i="98"/>
  <c r="L101" i="99"/>
  <c r="H149" i="99"/>
  <c r="N149" i="99" s="1"/>
  <c r="H128" i="99"/>
  <c r="K118" i="103"/>
  <c r="F170" i="99"/>
  <c r="J110" i="99"/>
  <c r="J119" i="103"/>
  <c r="J104" i="103"/>
  <c r="O109" i="103"/>
  <c r="M41" i="103"/>
  <c r="O123" i="99"/>
  <c r="O112" i="98"/>
  <c r="O115" i="98"/>
  <c r="M124" i="98"/>
  <c r="I161" i="99"/>
  <c r="N161" i="99" s="1"/>
  <c r="I128" i="99"/>
  <c r="I163" i="99"/>
  <c r="N163" i="99" s="1"/>
  <c r="L95" i="103" l="1"/>
  <c r="L102" i="103" s="1"/>
  <c r="L103" i="103" s="1"/>
  <c r="M45" i="103"/>
  <c r="M95" i="103" s="1"/>
  <c r="M102" i="103" s="1"/>
  <c r="M103" i="103" s="1"/>
  <c r="M119" i="103" s="1"/>
  <c r="O44" i="103"/>
  <c r="N126" i="99"/>
  <c r="O120" i="98"/>
  <c r="N45" i="103"/>
  <c r="N45" i="99"/>
  <c r="N101" i="99" s="1"/>
  <c r="N204" i="99" s="1"/>
  <c r="M122" i="99"/>
  <c r="O44" i="99"/>
  <c r="M45" i="99"/>
  <c r="M101" i="99" s="1"/>
  <c r="M102" i="99" s="1"/>
  <c r="O45" i="98"/>
  <c r="O113" i="98"/>
  <c r="F182" i="99"/>
  <c r="K110" i="99"/>
  <c r="O41" i="98"/>
  <c r="L109" i="98"/>
  <c r="O105" i="98"/>
  <c r="J120" i="103"/>
  <c r="M126" i="98"/>
  <c r="L109" i="99"/>
  <c r="L102" i="99"/>
  <c r="K102" i="103"/>
  <c r="M118" i="103"/>
  <c r="O118" i="103" s="1"/>
  <c r="O41" i="103"/>
  <c r="I126" i="98"/>
  <c r="O124" i="98"/>
  <c r="M110" i="98"/>
  <c r="J112" i="99"/>
  <c r="J127" i="99"/>
  <c r="J111" i="99"/>
  <c r="L119" i="103" l="1"/>
  <c r="L120" i="103" s="1"/>
  <c r="L104" i="103"/>
  <c r="N95" i="103"/>
  <c r="N102" i="103" s="1"/>
  <c r="O45" i="103"/>
  <c r="N102" i="99"/>
  <c r="N109" i="99"/>
  <c r="M120" i="103"/>
  <c r="M109" i="99"/>
  <c r="O109" i="99" s="1"/>
  <c r="M111" i="99"/>
  <c r="K111" i="99"/>
  <c r="K127" i="99"/>
  <c r="K112" i="99"/>
  <c r="K187" i="99" s="1"/>
  <c r="N187" i="99" s="1"/>
  <c r="O45" i="99"/>
  <c r="M126" i="99"/>
  <c r="O122" i="99"/>
  <c r="F194" i="99"/>
  <c r="L110" i="99"/>
  <c r="J175" i="99"/>
  <c r="N175" i="99" s="1"/>
  <c r="L125" i="98"/>
  <c r="L110" i="98"/>
  <c r="O107" i="98" s="1"/>
  <c r="N109" i="98"/>
  <c r="J173" i="99"/>
  <c r="N173" i="99" s="1"/>
  <c r="J170" i="99"/>
  <c r="N170" i="99" s="1"/>
  <c r="J128" i="99"/>
  <c r="K103" i="103"/>
  <c r="O102" i="103"/>
  <c r="M104" i="103"/>
  <c r="K182" i="99" l="1"/>
  <c r="N182" i="99" s="1"/>
  <c r="K185" i="99"/>
  <c r="N185" i="99" s="1"/>
  <c r="K128" i="99"/>
  <c r="M128" i="99"/>
  <c r="O126" i="99"/>
  <c r="L126" i="98"/>
  <c r="O126" i="98" s="1"/>
  <c r="O125" i="98"/>
  <c r="K119" i="103"/>
  <c r="N103" i="103"/>
  <c r="K104" i="103"/>
  <c r="O104" i="103" s="1"/>
  <c r="N125" i="98"/>
  <c r="N126" i="98" s="1"/>
  <c r="N110" i="98"/>
  <c r="L127" i="99"/>
  <c r="L112" i="99"/>
  <c r="N110" i="99"/>
  <c r="L111" i="99"/>
  <c r="O111" i="99" s="1"/>
  <c r="L197" i="99" l="1"/>
  <c r="N197" i="99" s="1"/>
  <c r="L194" i="99"/>
  <c r="N194" i="99" s="1"/>
  <c r="L128" i="99"/>
  <c r="O128" i="99" s="1"/>
  <c r="O127" i="99"/>
  <c r="N119" i="103"/>
  <c r="N120" i="103" s="1"/>
  <c r="N104" i="103"/>
  <c r="K120" i="103"/>
  <c r="O120" i="103" s="1"/>
  <c r="O119" i="103"/>
  <c r="N112" i="99"/>
  <c r="N111" i="99"/>
  <c r="N127" i="99"/>
  <c r="L199" i="99"/>
  <c r="N199" i="99" s="1"/>
  <c r="O112" i="99"/>
  <c r="N205" i="99" l="1"/>
  <c r="N128" i="99"/>
  <c r="N206" i="9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D</author>
  </authors>
  <commentList>
    <comment ref="C6" authorId="0" shapeId="0" xr:uid="{00000000-0006-0000-0300-000001000000}">
      <text>
        <r>
          <rPr>
            <sz val="9"/>
            <color indexed="81"/>
            <rFont val="Tahoma"/>
            <family val="2"/>
          </rPr>
          <t>months @ current rate
through 6/30</t>
        </r>
      </text>
    </comment>
    <comment ref="C8" authorId="0" shapeId="0" xr:uid="{00000000-0006-0000-0300-000002000000}">
      <text>
        <r>
          <rPr>
            <sz val="9"/>
            <color indexed="81"/>
            <rFont val="Tahoma"/>
            <family val="2"/>
          </rPr>
          <t xml:space="preserve">months with inflated rate prior to start of next funding period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rgrunewald</author>
  </authors>
  <commentList>
    <comment ref="D21" authorId="0" shapeId="0" xr:uid="{00000000-0006-0000-0800-000001000000}">
      <text>
        <r>
          <rPr>
            <sz val="9"/>
            <color indexed="81"/>
            <rFont val="Tahoma"/>
            <family val="2"/>
          </rPr>
          <t>This is a weighted average for all funds.  For a more accurate estimate, see cell note on next tab.</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rgrunewald</author>
  </authors>
  <commentList>
    <comment ref="D21" authorId="0" shapeId="0" xr:uid="{00000000-0006-0000-0900-000001000000}">
      <text>
        <r>
          <rPr>
            <sz val="12"/>
            <color indexed="81"/>
            <rFont val="Tahoma"/>
            <family val="2"/>
          </rPr>
          <t>See footnote #7 below.</t>
        </r>
      </text>
    </comment>
    <comment ref="H50" authorId="0" shapeId="0" xr:uid="{00000000-0006-0000-0900-000002000000}">
      <text>
        <r>
          <rPr>
            <sz val="11"/>
            <color indexed="81"/>
            <rFont val="Tahoma"/>
            <family val="2"/>
          </rPr>
          <t xml:space="preserve">To calculate unemployment costs:
1.  Find the program number (below, left column) for the account you are budgeting for.  
2.  Disregard the lines with 55 in them, unless you are from area 55 (Sirti)
3.  Multiply the salary amount times the indicated rate, inserting a decimal point to the right of the first zero.  
4.  Example:  for programs 01-10, multiply the salary times 0.0040 to derive the unemployment benefit cost.  
5.  The CEHF (Classified, Exempt(AP), Hourly, Faculty) codes are the employment types that take unemployment for that program. 
Contact Rick in the Budget Office if you have any questions!
335-9187  
@@@ 55@@ 00050 CEHF                                                                     
01@ 55@@ 00050 CEHF                                                                     
01@ @@@@ 00040 CEHF                                                                     
02@ @@@@ 00040 CEHF                                                                     
03@ @@@@ 00040 CEHF                                                                     
04@ @@@@ 00040 CEHF                                                                     
05@ @@@@ 00040 CEHF                                                                     
06@ @@@@ 00040 CEHF                                                                     
07@ @@@@ 00040 CEHF                                                                     
08@ @@@@ 00040 CEHF                                                                     
09@ @@@@ 00040 CEHF                                                                     
10@ @@@@ 00040 CEHF                                                                     
11@ 55@@ 00050 CEHF                                                                     
11@ @@@@ 00050 CEHF                                                                     
12@ @@@@ 00050 CEHF                                                                     
13@ @@@@ 00050 CEHF                                                                     
14F 4130 00000                                                                          
14@ @@@@ 00050 CEHF                                                                     
15A @@@@ 00050 CEHF                                                                     
16A @@@@ 00025 CEHF                                                                     
16B @@@@ 00100 CEHF                                                                     
16C @@@@ 00050 CEHF                                                                     
16D @@@@ 00000                                                                          
17J 7691 00100 CEHF                                                                     
17P @@@@ 00050 CEHF                                                                     
17@ @@@@ 00075 CEHF                                                                     
19@ @@@@ 00025 CEHF                                                                     
86A @@@@ 00000                                                                          
@@@ @@@@ 00050 CEHF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rgrunewald</author>
  </authors>
  <commentList>
    <comment ref="D21" authorId="0" shapeId="0" xr:uid="{00000000-0006-0000-0B00-000001000000}">
      <text>
        <r>
          <rPr>
            <sz val="12"/>
            <color indexed="81"/>
            <rFont val="Tahoma"/>
            <family val="2"/>
          </rPr>
          <t>See footnote #7 below.</t>
        </r>
      </text>
    </comment>
    <comment ref="H49" authorId="0" shapeId="0" xr:uid="{00000000-0006-0000-0B00-000002000000}">
      <text>
        <r>
          <rPr>
            <sz val="11"/>
            <color indexed="81"/>
            <rFont val="Tahoma"/>
            <family val="2"/>
          </rPr>
          <t>To calculate unemployment costs:
1.  Find the program number (below, left column) for the account you are budgeting for.  
2.  Disregard the lines with 55 in them, unless you are from area 55 (Sirti)
3.  Multiply the salary amount times the indicated rate, inserting a decimal point to the right of the first zero.  
4.  Example:  for programs 01-10, multiply the salary times 0.0010 to derive the unemployment benefit cost.  
5.  The CEHF (Classified, Exempt(AP), Hourly, Faculty) codes are the employment types that take unemployment for that program. 
Contact Rick in the Budget Office if you have any questions!
335-9187  
@@@ 55@@ 00050 CEHF                                                                     
01@ 55@@ 00050 CEHF                                                                     
01@ @@@@ 00050 CEHF                                                                     
02@ @@@@ 00050 CEHF                                                                     
03@ @@@@ 00050 CEHF                                                                     
04@ @@@@ 00050 CEHF                                                                     
05@ @@@@ 00050 CEHF                                                                     
06@ @@@@ 00050 CEHF                                                                     
07@ @@@@ 00050 CEHF                                                                     
08@ @@@@ 00050 CEHF                                                                     
09@ @@@@ 00050 CEHF                                                                     
10@ @@@@ 00050 CEHF                                                                     
11@ 55@@ 00050 CEHF                                                                     
11@ @@@@ 00000 CEHF                                                                     
12@ @@@@ 00000 CEHF                                                                     
13@ @@@@ 00025 CEHF                                                                     
14F 4130 00000                                                                          
14@ @@@@ 00025 CEHF                                                                     
15A @@@@ 00050 CEHF                                                                     
16A @@@@ 00025 CEHF                                                                     
16B @@@@ 00075                                                                          
16C @@@@ 00150                                                                          
16D @@@@ 00000                                                                          
17J 7691 00020 CEHF                                                                     
17P @@@@ 00050                                                                          
17@ @@@@ 00075                                                                          
19@ @@@@ 00025 CEHF                                                                     
86A @@@@ 00000                                                                          
@@@ @@@@ 00050 CEHF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rgrunewald</author>
  </authors>
  <commentList>
    <comment ref="D21" authorId="0" shapeId="0" xr:uid="{00000000-0006-0000-0C00-000001000000}">
      <text>
        <r>
          <rPr>
            <sz val="9"/>
            <color indexed="81"/>
            <rFont val="Tahoma"/>
            <family val="2"/>
          </rPr>
          <t>This is a weighted average for all funds.  For a more accurate estimate, see cell note on next tab.</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rgrunewald</author>
  </authors>
  <commentList>
    <comment ref="D21" authorId="0" shapeId="0" xr:uid="{00000000-0006-0000-0D00-000001000000}">
      <text>
        <r>
          <rPr>
            <sz val="12"/>
            <color indexed="81"/>
            <rFont val="Tahoma"/>
            <family val="2"/>
          </rPr>
          <t>See footnote #7 below.</t>
        </r>
      </text>
    </comment>
    <comment ref="H50" authorId="0" shapeId="0" xr:uid="{00000000-0006-0000-0D00-000002000000}">
      <text>
        <r>
          <rPr>
            <sz val="11"/>
            <color indexed="81"/>
            <rFont val="Tahoma"/>
            <family val="2"/>
          </rPr>
          <t xml:space="preserve">To calculate unemployment costs:
1.  Find the program number (below, left column) for the account you are budgeting for.  
2.  Disregard the lines with 55 in them, unless you are from area 55 (Sirti)
3.  Multiply the salary amount times the indicated rate, inserting a decimal point to the right of the first zero.  
4.  Example:  for programs 01-10, multiply the salary times 0.0040 to derive the unemployment benefit cost.  
5.  The CEHF (Classified, Exempt(AP), Hourly, Faculty) codes are the employment types that take unemployment for that program. 
Contact Rick in the Budget Office if you have any questions!
335-9187  
@@@ 55@@ 00050 CEHF                                                                     
01@ 55@@ 00050 CEHF                                                                     
01@ @@@@ 00040 CEHF                                                                     
02@ @@@@ 00040 CEHF                                                                     
03@ @@@@ 00040 CEHF                                                                     
04@ @@@@ 00040 CEHF                                                                     
05@ @@@@ 00040 CEHF                                                                     
06@ @@@@ 00040 CEHF                                                                     
07@ @@@@ 00040 CEHF                                                                     
08@ @@@@ 00040 CEHF                                                                     
09@ @@@@ 00040 CEHF                                                                     
10@ @@@@ 00040 CEHF                                                                     
11@ 55@@ 00050 CEHF                                                                     
11@ @@@@ 00050 CEHF                                                                     
12@ @@@@ 00050 CEHF                                                                     
13@ @@@@ 00050 CEHF                                                                     
14F 4130 00000                                                                          
14@ @@@@ 00050 CEHF                                                                     
15A @@@@ 00050 CEHF                                                                     
16A @@@@ 00025 CEHF                                                                     
16B @@@@ 00100 CEHF                                                                     
16C @@@@ 00050 CEHF                                                                     
16D @@@@ 00000                                                                          
17J 7691 00020 CEHF                                                                     
17P @@@@ 00050 CEHF                                                                     
17@ @@@@ 00075 CEHF                                                                     
19@ @@@@ 00025 CEHF                                                                     
86A @@@@ 00000                                                                          
@@@ @@@@ 00050 CEHF </t>
        </r>
      </text>
    </comment>
  </commentList>
</comments>
</file>

<file path=xl/sharedStrings.xml><?xml version="1.0" encoding="utf-8"?>
<sst xmlns="http://schemas.openxmlformats.org/spreadsheetml/2006/main" count="3461" uniqueCount="850">
  <si>
    <t>Year 2</t>
  </si>
  <si>
    <t>Year 3</t>
  </si>
  <si>
    <t>Year 4</t>
  </si>
  <si>
    <t>Salary</t>
  </si>
  <si>
    <t xml:space="preserve">  Benefits</t>
  </si>
  <si>
    <t xml:space="preserve">  QTR</t>
  </si>
  <si>
    <t>Wages</t>
  </si>
  <si>
    <t>Foreign</t>
  </si>
  <si>
    <t>QTR</t>
  </si>
  <si>
    <t>Equipment (Over 5k)</t>
  </si>
  <si>
    <t>EXCLUSIONS</t>
  </si>
  <si>
    <t>Benefits</t>
  </si>
  <si>
    <t>WAGES - 01</t>
  </si>
  <si>
    <t>TRAVEL - 04</t>
  </si>
  <si>
    <t>COMPUTER SERVICES - 05</t>
  </si>
  <si>
    <t>MTDC</t>
  </si>
  <si>
    <t>TD</t>
  </si>
  <si>
    <t>TC</t>
  </si>
  <si>
    <t>SWB</t>
  </si>
  <si>
    <t>Other</t>
  </si>
  <si>
    <t>Total Costs</t>
  </si>
  <si>
    <t>Total Direct Costs</t>
  </si>
  <si>
    <t>CAPITAL EQUIPMENT - 06 ($5,000 +)</t>
  </si>
  <si>
    <t>BENEFITS - 07</t>
  </si>
  <si>
    <t>Other (Off-Site Rental &amp; Stipends, Etc)</t>
  </si>
  <si>
    <t>X</t>
  </si>
  <si>
    <t>Total Salary &amp; Wages</t>
  </si>
  <si>
    <t>Total Capital Equipment</t>
  </si>
  <si>
    <t>Total Salary</t>
  </si>
  <si>
    <t>Total Wages</t>
  </si>
  <si>
    <t>Total Goods/Services</t>
  </si>
  <si>
    <t>Total Travel</t>
  </si>
  <si>
    <t>Total Subcontracts/Restricted</t>
  </si>
  <si>
    <t>Total Personal Services Contracts</t>
  </si>
  <si>
    <t>Total Computer Services</t>
  </si>
  <si>
    <t>Total Salaries/Wages/Benefits</t>
  </si>
  <si>
    <t xml:space="preserve">Year 1 </t>
  </si>
  <si>
    <t>% FTE</t>
  </si>
  <si>
    <t>Category/Object</t>
  </si>
  <si>
    <t>Goods/Services  - 03</t>
  </si>
  <si>
    <t>Travel - 04</t>
  </si>
  <si>
    <t>Equipment  - 06</t>
  </si>
  <si>
    <t>Benefits - 07</t>
  </si>
  <si>
    <t>F&amp;A - 13</t>
  </si>
  <si>
    <t>Base</t>
  </si>
  <si>
    <t>Pay Rate</t>
  </si>
  <si>
    <t># Mos.</t>
  </si>
  <si>
    <t>$ Per Hr.</t>
  </si>
  <si>
    <t># Wks.</t>
  </si>
  <si>
    <t>MATRICES FOR GRADUATE RESEARCH ASSISTANTSHIP APPOINTMENTS</t>
  </si>
  <si>
    <t>Step 32</t>
  </si>
  <si>
    <t>GRA SALARIES</t>
  </si>
  <si>
    <t>Step 26</t>
  </si>
  <si>
    <t>FTE</t>
  </si>
  <si>
    <t>Apptmt/Grant Begins:</t>
  </si>
  <si>
    <t>Amount Un-Inflated (AY)</t>
  </si>
  <si>
    <t xml:space="preserve">Summer Un-Inflated </t>
  </si>
  <si>
    <t>Amount Inflated Twice(AY)</t>
  </si>
  <si>
    <t>Apptmt</t>
  </si>
  <si>
    <t>AY + 3 SUM</t>
  </si>
  <si>
    <t>12 month</t>
  </si>
  <si>
    <t>AY in 99</t>
  </si>
  <si>
    <t>SUM 99</t>
  </si>
  <si>
    <t>AY in 00</t>
  </si>
  <si>
    <t>AY + 2 SUM</t>
  </si>
  <si>
    <t>11 month</t>
  </si>
  <si>
    <t>AY 99</t>
  </si>
  <si>
    <t>AY 00</t>
  </si>
  <si>
    <t>AY + 1 SUM</t>
  </si>
  <si>
    <t>10 month</t>
  </si>
  <si>
    <t>AY</t>
  </si>
  <si>
    <t>9 month</t>
  </si>
  <si>
    <t>3 SUM</t>
  </si>
  <si>
    <t>3 month</t>
  </si>
  <si>
    <t>SUM 00</t>
  </si>
  <si>
    <t>2 SUM</t>
  </si>
  <si>
    <t>2 month</t>
  </si>
  <si>
    <t>1 SUM</t>
  </si>
  <si>
    <t>1 month</t>
  </si>
  <si>
    <t>Amount Inflated Once (AY)</t>
  </si>
  <si>
    <t>GRA QUALIFIED TUITION REDUCTION</t>
  </si>
  <si>
    <t>Resident Tuition Parameters</t>
  </si>
  <si>
    <t>Non-Resident Tuition Parameters</t>
  </si>
  <si>
    <t>GRA Health Ins. Parameters</t>
  </si>
  <si>
    <t xml:space="preserve">NOTE: Inflate </t>
  </si>
  <si>
    <t>per year</t>
  </si>
  <si>
    <t>Resident QTR</t>
  </si>
  <si>
    <t>AY + SUM</t>
  </si>
  <si>
    <t>AY ONLY</t>
  </si>
  <si>
    <t>SUM ONLY</t>
  </si>
  <si>
    <t>1-3</t>
  </si>
  <si>
    <t xml:space="preserve">SUM 99 </t>
  </si>
  <si>
    <t>Non-Resident QTR</t>
  </si>
  <si>
    <t>AY 0</t>
  </si>
  <si>
    <t>1.5-3</t>
  </si>
  <si>
    <t>AY 1999/2000</t>
  </si>
  <si>
    <t>GRA HEALTH INSURANCE</t>
  </si>
  <si>
    <t>Any &gt; 9month</t>
  </si>
  <si>
    <r>
      <t>COLLEGE OF SCIENCES</t>
    </r>
    <r>
      <rPr>
        <b/>
        <sz val="18"/>
        <rFont val="Century Gothic"/>
        <family val="2"/>
      </rPr>
      <t xml:space="preserve"> - MATRICES FOR GRADUATE RESEARCH ASSISTANTSHIP</t>
    </r>
  </si>
  <si>
    <t>Step 47</t>
  </si>
  <si>
    <t>Step 42</t>
  </si>
  <si>
    <t>Student:</t>
  </si>
  <si>
    <t>F&amp;A Base Type:</t>
  </si>
  <si>
    <t>Hrs/Wks</t>
  </si>
  <si>
    <t>Co-PI:</t>
  </si>
  <si>
    <t>Faculty</t>
  </si>
  <si>
    <t>Post-Doc/Research Assoc:</t>
  </si>
  <si>
    <t>Washington State University</t>
  </si>
  <si>
    <t>Rate</t>
  </si>
  <si>
    <t>Multiplied by</t>
  </si>
  <si>
    <t>x Salary</t>
  </si>
  <si>
    <t>DK = Medicare, no max.</t>
  </si>
  <si>
    <t>DB = TIAA/CREF 5%</t>
  </si>
  <si>
    <t>DC = TIAA/CREF 7.5%</t>
  </si>
  <si>
    <t>DD = TIAA/CREF 10%</t>
  </si>
  <si>
    <t>DE = PERS I</t>
  </si>
  <si>
    <t>DF = PERS II</t>
  </si>
  <si>
    <t>DM = PERS III</t>
  </si>
  <si>
    <t>DH = WSTRS I</t>
  </si>
  <si>
    <t>DJ = WSTRS II</t>
  </si>
  <si>
    <t>DL = LEOFF II</t>
  </si>
  <si>
    <t>HE = PERS I</t>
  </si>
  <si>
    <t>x Wages</t>
  </si>
  <si>
    <t>HF = PERS II</t>
  </si>
  <si>
    <t>MA = Unemployment Ins.</t>
  </si>
  <si>
    <t xml:space="preserve">DG = Med Aid / Wkr. Comp </t>
  </si>
  <si>
    <t>x FTE x Term</t>
  </si>
  <si>
    <t>x 12 (if FTE &gt;= 0.50)</t>
  </si>
  <si>
    <t>MC = Health Ins. (Grads)</t>
  </si>
  <si>
    <t>MD = Health Ins. (NSTE)</t>
  </si>
  <si>
    <t xml:space="preserve">x 12 (if &gt;= .5 FTE for 6 consec. months) </t>
  </si>
  <si>
    <t>Annual Benefits Calculations by Employee Type, given that FTE &gt;= 0.50</t>
  </si>
  <si>
    <t>Exempt Benefits</t>
  </si>
  <si>
    <t>Faculty Benefits</t>
  </si>
  <si>
    <t>Estimated Benefit Percentages by Employee Type</t>
  </si>
  <si>
    <t>Student hourly (no Grad Appt.) Full-time FT, Part-time PT</t>
  </si>
  <si>
    <t>No Pers/Hlth</t>
  </si>
  <si>
    <t>with both</t>
  </si>
  <si>
    <t xml:space="preserve">Non-Student Temporary </t>
  </si>
  <si>
    <t>become eligible for PERS if they work 70 or more hours per month in any five months of a 12 month period.</t>
  </si>
  <si>
    <t>Rates for temporary employees are based on the average minimum wage over the fiscal year times 160 hrs/month times 12 months.</t>
  </si>
  <si>
    <t>SALARIES - 00</t>
  </si>
  <si>
    <t>Benefits =</t>
  </si>
  <si>
    <t xml:space="preserve"> </t>
  </si>
  <si>
    <t xml:space="preserve">*or* Grad=DG+MC where: </t>
  </si>
  <si>
    <t>*or* Non-Student Temporary=DA+DK+(HE or HF) + MD, where:</t>
  </si>
  <si>
    <t>MB = Health Ins.,Represented (not Grads)</t>
  </si>
  <si>
    <t xml:space="preserve">                  ((OASI%+Medcr%+Retrmt%+Unempl%)*Salary)  + (Med Aid $* FTE*Term) + (Health Ins. rate x 12)</t>
  </si>
  <si>
    <t>Bargaining Unit Benefits</t>
  </si>
  <si>
    <t>Graduate Benefits</t>
  </si>
  <si>
    <r>
      <t xml:space="preserve">No PERS/No Hlth  </t>
    </r>
    <r>
      <rPr>
        <sz val="14"/>
        <rFont val="Times New Roman"/>
        <family val="1"/>
      </rPr>
      <t>|</t>
    </r>
    <r>
      <rPr>
        <sz val="10"/>
        <rFont val="Times New Roman"/>
        <family val="1"/>
      </rPr>
      <t xml:space="preserve"> With PERS</t>
    </r>
  </si>
  <si>
    <t>Civil Service, Bargaining Unit, Exempt, Faculty and Graduate rates were calculated using average salary, FTE, and term by</t>
  </si>
  <si>
    <t>are available for students and Non-Student Temporary Employees (NSTE) so these rates are rough estimates.</t>
  </si>
  <si>
    <t>OASI and Medicare will be taken for all non-student employees for any non-business related meals</t>
  </si>
  <si>
    <t xml:space="preserve">reimbursed for non-overnight travel.  </t>
  </si>
  <si>
    <t>Total</t>
  </si>
  <si>
    <t>1,5</t>
  </si>
  <si>
    <t>x 2 (if FTE &gt;= 0.50 and term = 9.0)</t>
  </si>
  <si>
    <t>Civil Service</t>
  </si>
  <si>
    <t>Bargaining Units</t>
  </si>
  <si>
    <t>Exempt</t>
  </si>
  <si>
    <t>Weighted Average</t>
  </si>
  <si>
    <t>without QTR</t>
  </si>
  <si>
    <t>with QTR</t>
  </si>
  <si>
    <t>Graduate Student</t>
  </si>
  <si>
    <t xml:space="preserve">The graduate rate listed shows with and without the Qualified Tuition Reduction, an additional benefit </t>
  </si>
  <si>
    <t>Year5</t>
  </si>
  <si>
    <t>*Non-Student Temporary</t>
  </si>
  <si>
    <t>*No PERS, No Health (less than 70 hrs a month)</t>
  </si>
  <si>
    <t>***PERS, Health, Med (6 consecutive mths PT work)</t>
  </si>
  <si>
    <t>**Non-Student Temporary</t>
  </si>
  <si>
    <t>***Non Student Temporary</t>
  </si>
  <si>
    <t>**PERS with No Health  (more than 70 hours for 5 mths)</t>
  </si>
  <si>
    <t>MB = Health Insurance (not grads)</t>
  </si>
  <si>
    <t>Classified Benefits</t>
  </si>
  <si>
    <t>FY 09</t>
  </si>
  <si>
    <t>NSTEs become eligible for medical insurance in the seventh month if they work 480 or more hours in a consecutive six month period. They must</t>
  </si>
  <si>
    <t>The Non-Student Temporary rate shows with and without PERS and medical insurance.  Non-Student Temporary Employees (NSTEs)</t>
  </si>
  <si>
    <t xml:space="preserve">work in the first month of the six month period. (These WSU contributions are absorbed by the departments in subobjects HE, HF, HM and MD)  </t>
  </si>
  <si>
    <t>Please see Guideline 2 for further information.</t>
  </si>
  <si>
    <t>Faculty, AP,CS,BU= DA+DK+(DB or DC or DD or DE or DF or DM or DH or DJ or DL)+MA+DG+(MB or MC) where:</t>
  </si>
  <si>
    <t>The Non-Student Temporary rate shows with and without PERS and medical insurance.  (Non-Student Temporary Employees (NSTEs)</t>
  </si>
  <si>
    <t>work in the first month of the six month period. These WSU contributions are absorbed by the departments in subobjects HE, HF, HM and MD)</t>
  </si>
  <si>
    <t>6 month</t>
  </si>
  <si>
    <t>8 month</t>
  </si>
  <si>
    <t>Summer Term</t>
  </si>
  <si>
    <t>Appointment</t>
  </si>
  <si>
    <t>Academic Year</t>
  </si>
  <si>
    <t>Calendar Year</t>
  </si>
  <si>
    <t xml:space="preserve">  % effort </t>
  </si>
  <si>
    <t xml:space="preserve">         PM</t>
  </si>
  <si>
    <t>% effort</t>
  </si>
  <si>
    <t>PM</t>
  </si>
  <si>
    <t xml:space="preserve"> % effort</t>
  </si>
  <si>
    <t xml:space="preserve">  % effort</t>
  </si>
  <si>
    <t xml:space="preserve">        PM</t>
  </si>
  <si>
    <t>Instructions:</t>
  </si>
  <si>
    <t xml:space="preserve">There are three basic salary (wage) bases: Calendar Year, Academic Year and Summer Term. Here is a month/week/days   </t>
  </si>
  <si>
    <t>breakout for each:</t>
  </si>
  <si>
    <t>Academic Year (AY)</t>
  </si>
  <si>
    <t>9 months</t>
  </si>
  <si>
    <t>39 weeks</t>
  </si>
  <si>
    <t>273 days</t>
  </si>
  <si>
    <t>Summer Term (SM)</t>
  </si>
  <si>
    <t>3 months</t>
  </si>
  <si>
    <t>13 weeks</t>
  </si>
  <si>
    <t>90 days</t>
  </si>
  <si>
    <t xml:space="preserve">Calendar Year (CY) </t>
  </si>
  <si>
    <t>12 months</t>
  </si>
  <si>
    <t>52 weeks</t>
  </si>
  <si>
    <t>365 days</t>
  </si>
  <si>
    <t>To fill out the budget forms for the SF 424 R&amp;R grantees will need to convert percent-of-effort to person months.  Below are</t>
  </si>
  <si>
    <t>a two examples of how person months are applied:</t>
  </si>
  <si>
    <t>Example 1:</t>
  </si>
  <si>
    <t>A PI on an AY appointment at a salary of $63,000 will have a monthly salary of $7,000 (one-ninth of the AY).</t>
  </si>
  <si>
    <t xml:space="preserve">25% of AY effort would equate to 2.25 person months (9x.25=2.25).  The Budget figure for that effort would be </t>
  </si>
  <si>
    <t>$15,750 (7,000 multiplied by 2.25 AY months).</t>
  </si>
  <si>
    <t>Example 2:</t>
  </si>
  <si>
    <t xml:space="preserve">A PI on a CY appointment at a salary of $72,000 will have a monthly salary of $6,000 (one-twelfth of total CY </t>
  </si>
  <si>
    <t xml:space="preserve">salary).  25% of CY effort would equate to 3 CY months (12x.25=3).  The budget figure for that effort would </t>
  </si>
  <si>
    <t>be$18,000 (6,000 multiplied by 3 CY months).</t>
  </si>
  <si>
    <t>Percent of Time &amp; Effort to Person Months (PM)</t>
  </si>
  <si>
    <t>Interactive Conversion Table</t>
  </si>
  <si>
    <t>FY 10</t>
  </si>
  <si>
    <t>Student (enrolled part-time ) :</t>
  </si>
  <si>
    <t>DA = OASI, $ 106,800 max.</t>
  </si>
  <si>
    <t>The civil service/bargaining unit retirement plan rate used is PERS  (0.0531).</t>
  </si>
  <si>
    <t>WSU contribution for bargaining unit employees differs from non-represented employees in FY07 per budget legislation.</t>
  </si>
  <si>
    <t xml:space="preserve">     FT= 2.%       PT= 9.6%</t>
  </si>
  <si>
    <t>Benefit Calculations</t>
  </si>
  <si>
    <t xml:space="preserve">  Rate</t>
  </si>
  <si>
    <t>TIAA-CREF</t>
  </si>
  <si>
    <t>FEDERAL</t>
  </si>
  <si>
    <t>OASI - .062</t>
  </si>
  <si>
    <t>OASI - n/a</t>
  </si>
  <si>
    <t>Medicare - .0145</t>
  </si>
  <si>
    <t>CSRS .07</t>
  </si>
  <si>
    <t>TOTAL BENEFITS</t>
  </si>
  <si>
    <t>Benefit Rate</t>
  </si>
  <si>
    <t>TSP - .05</t>
  </si>
  <si>
    <t>Draft General Benefits Model for FY 2011</t>
  </si>
  <si>
    <t>FY 11</t>
  </si>
  <si>
    <t>The $106,800 OASI maximum is the fiscal year average of 2010 at $106,800 and 2011 at $106,800.</t>
  </si>
  <si>
    <t>=    (0.1309 x Salary) + (27.33 x FTE x Term) + 10200</t>
  </si>
  <si>
    <t>Name (Last, First)</t>
  </si>
  <si>
    <t>Title for Project (PI, Co-PI, Associate Researcher, Key Personnel)</t>
  </si>
  <si>
    <t>WSU Area</t>
  </si>
  <si>
    <t>WSU Department</t>
  </si>
  <si>
    <t>WSU Split Appointment? If yes, list other area/department in column to the right</t>
  </si>
  <si>
    <t>Column 1</t>
  </si>
  <si>
    <t>Column 2</t>
  </si>
  <si>
    <t>Column 3</t>
  </si>
  <si>
    <t>Column 4</t>
  </si>
  <si>
    <t>Column 5</t>
  </si>
  <si>
    <t>Column 6</t>
  </si>
  <si>
    <t>added to those &gt;=.5FTE grads who did not receive an Operating Fee Waiver.  The QTR for this FY is $7,834.</t>
  </si>
  <si>
    <t>Step 60</t>
  </si>
  <si>
    <t>=    (0.1614   x  Salary) + (27.33 x FTE x Term) + 10200</t>
  </si>
  <si>
    <t>=    (0.15440 x  Salary) + (27.33 x FTE x Term) + 10200</t>
  </si>
  <si>
    <t>=                 -0-              + (27.33 x FTE x Term) + 1420  (+ 7834 if QTR)</t>
  </si>
  <si>
    <t xml:space="preserve">         9.6%              14.9%</t>
  </si>
  <si>
    <t>The A/P and faculty retirement plan rate used is the WSU weighted average (0.0734  and 0.0804, respectively).</t>
  </si>
  <si>
    <t>employee type from "Sept 30, 2009"  employee / appointment data obtained from the data warehouse.  No such data</t>
  </si>
  <si>
    <t>Med. Aid  - .2113 x 160</t>
  </si>
  <si>
    <t>=    (0.1341   x  Salary) + (27.33 x FTE x Term) + 10200</t>
  </si>
  <si>
    <t>STEP-47 Level Research Assistant -- 50% Appointment  (Inflate 4% for Subsequent Years)</t>
  </si>
  <si>
    <t>STEP-32 Level Research Assistant -- 50% Appointment  (Inflate 4% for Subsequent Years)</t>
  </si>
  <si>
    <t>STEP-26 Level Research Assistant -- 50% Appointment  (Inflate 4% for Subsequent Years)</t>
  </si>
  <si>
    <t>STEP-42 Level Research Assistant -- 50% Appointment  (Inflate 4% for Subsequent Years)</t>
  </si>
  <si>
    <t>STEP-60 Level Research Assistant -- 50% Appointment  (Inflate 4% for Subsequent Years)</t>
  </si>
  <si>
    <t>STEP-49 Level Research Assistant -- 50% Appointment  (Inflate 4% for Subsequent Years)</t>
  </si>
  <si>
    <t xml:space="preserve">University One </t>
  </si>
  <si>
    <t>SBCT DC</t>
  </si>
  <si>
    <t>University Two</t>
  </si>
  <si>
    <t>Total Subcontractor DC</t>
  </si>
  <si>
    <t>Total Subcontractor IC</t>
  </si>
  <si>
    <t>Total Exclusions</t>
  </si>
  <si>
    <t>PHS 398 Modular Budget</t>
  </si>
  <si>
    <t>Budget Period: 1</t>
  </si>
  <si>
    <t>A. Direct Costs</t>
  </si>
  <si>
    <t>Period 1</t>
  </si>
  <si>
    <t>*Direct Cost less Consortium F&amp;A</t>
  </si>
  <si>
    <t>Consortium F&amp;A</t>
  </si>
  <si>
    <t>*Total Direct Costs</t>
  </si>
  <si>
    <t>autofills</t>
  </si>
  <si>
    <t>B. Indirect Costs</t>
  </si>
  <si>
    <t>MTDC/IC %/IC Base ($)/*Funds Req ($)</t>
  </si>
  <si>
    <t>Cognizant Agency</t>
  </si>
  <si>
    <t>Indirect Cost Rate Agreement Date</t>
  </si>
  <si>
    <t>Total Indirect Costs</t>
  </si>
  <si>
    <t>C. Total Direct and Indirect Costs (A + B)</t>
  </si>
  <si>
    <t>Funds Requested ($)</t>
  </si>
  <si>
    <t>Budget Period: 2</t>
  </si>
  <si>
    <t>Period 2</t>
  </si>
  <si>
    <t>Budget Period: 3</t>
  </si>
  <si>
    <t>Period 3</t>
  </si>
  <si>
    <t>Budget Period: 4</t>
  </si>
  <si>
    <t>Period 4</t>
  </si>
  <si>
    <t>Budget Period: 5</t>
  </si>
  <si>
    <t>Period 5</t>
  </si>
  <si>
    <t>CUMULATIVE BUDGET INFORMATION</t>
  </si>
  <si>
    <t>1.  Total Costs, Entire Project Period</t>
  </si>
  <si>
    <t>Section A, Total Direct Cost less Consortium F&amp;A for Entire Project Period</t>
  </si>
  <si>
    <t>Section A, Total Consortium F&amp;A for Entire Project Period</t>
  </si>
  <si>
    <t>Section A, Total Direct Costs for Entire Project Period</t>
  </si>
  <si>
    <t>Section B, Total Indirect Costs for Entire Project Period</t>
  </si>
  <si>
    <t>Section C, Total Direct and Indirect Costs (A+B) for Entire Project Period</t>
  </si>
  <si>
    <t>DHHS - Helen Fung, 415-437-7820</t>
  </si>
  <si>
    <t>Approved By:</t>
  </si>
  <si>
    <t>ACTUAL DIRECT COSTS</t>
  </si>
  <si>
    <t>TOTAL ACTUAL COSTS</t>
  </si>
  <si>
    <t>TOTAL MODULAR COSTS, rounding could result in $1 difference-adj manually</t>
  </si>
  <si>
    <t>Step 77</t>
  </si>
  <si>
    <t>(Assuming Salary Increase 7/1) For DVM</t>
  </si>
  <si>
    <t>(Assuming Salary Increase 7/1) for COS</t>
  </si>
  <si>
    <t>(Assuming Salary Increase 7/1) for GRA and MBA</t>
  </si>
  <si>
    <t>STEP-77 Level Research Assistant -- 50% Appointment  (Inflate 4% for Subsequent Years)</t>
  </si>
  <si>
    <t>per telecon w/Tim Mildren (non-resident tuition plus qtr) *2</t>
  </si>
  <si>
    <t>MODULAR amount to request (HAND ENTER; do not include Consortium F&amp;A)</t>
  </si>
  <si>
    <t>YR-1</t>
  </si>
  <si>
    <t>YR-2</t>
  </si>
  <si>
    <t>YR-3</t>
  </si>
  <si>
    <t>YR-4</t>
  </si>
  <si>
    <t>YR-5</t>
  </si>
  <si>
    <t>(Assuming Salary Increase 7/1) for Nursing</t>
  </si>
  <si>
    <t>Step 49</t>
  </si>
  <si>
    <t>STEP-60     Level Research Assistant -- 50% Appointment  (Inflate 4% for Subsequent Years)</t>
  </si>
  <si>
    <t>STEP-49    Level Research Assistant -- 50% Appointment  (Inflate 4% for Subsequent Years)</t>
  </si>
  <si>
    <t>STEP-47    Level Research Assistant -- 50% Appointment  (Inflate 4% for Subsequent Years)</t>
  </si>
  <si>
    <t>STEP-42    Level Research Assistant -- 50% Appointment  (Inflate 4% for Subsequent Years)</t>
  </si>
  <si>
    <t>STEP-32    Level Research Assistant -- 50% Appointment  (Inflate 4% for Subsequent Years)</t>
  </si>
  <si>
    <t>STEP-26    Level Research Assistant -- 50% Appointment  (Inflate 4% for Subsequent Years)</t>
  </si>
  <si>
    <t>NOTE: Inflate 4% per year</t>
  </si>
  <si>
    <t>GRA SALARIES (Assuming Salary Increase 7/1)</t>
  </si>
  <si>
    <r>
      <t>MATRICES FOR GRADUATE RESEARCH ASSISTANTSHIP APPOINTMENTS ~</t>
    </r>
    <r>
      <rPr>
        <b/>
        <sz val="18"/>
        <color indexed="54"/>
        <rFont val="Century Gothic"/>
        <family val="2"/>
      </rPr>
      <t xml:space="preserve"> EXCLUDES NURSING</t>
    </r>
  </si>
  <si>
    <t xml:space="preserve">Domestic </t>
  </si>
  <si>
    <t>Subcontracts, amt excluding first 25K (per subcontract), HAND ENTER.</t>
  </si>
  <si>
    <t>(Assuming Salary Increase 7/1) For Pharmacy</t>
  </si>
  <si>
    <t>PI:</t>
  </si>
  <si>
    <t>TOTAL</t>
  </si>
  <si>
    <t>Step 51</t>
  </si>
  <si>
    <t>STEP-51    Level Research Assistant -- 50% Appointment  (Inflate 4% for Subsequent Years)</t>
  </si>
  <si>
    <t>Caution:  For employees with less than a 12-month appointment; factor in health insurance cost for non-pay months.</t>
  </si>
  <si>
    <t xml:space="preserve">    Benefit Rate</t>
  </si>
  <si>
    <t>TRS 3 - .0804</t>
  </si>
  <si>
    <t>PERS 3 - .0725</t>
  </si>
  <si>
    <t>TRS 3</t>
  </si>
  <si>
    <t>PERS 3</t>
  </si>
  <si>
    <t>Option for Faculty hired after 7-1-11</t>
  </si>
  <si>
    <t>Option for AP hired after 7-1-11</t>
  </si>
  <si>
    <t>review DEPPS "qprexp" screen.</t>
  </si>
  <si>
    <t xml:space="preserve">federal life insurance.  For actual $ </t>
  </si>
  <si>
    <t xml:space="preserve">*$12.00 is the average contribution for </t>
  </si>
  <si>
    <t>TIAA-CREF .1 (option age 50 +)</t>
  </si>
  <si>
    <t>Federal Life*</t>
  </si>
  <si>
    <t>FERS  .119</t>
  </si>
  <si>
    <t>TIAA-CREF .075 (age 35 +)</t>
  </si>
  <si>
    <t>Health</t>
  </si>
  <si>
    <t>Unempl - .005</t>
  </si>
  <si>
    <t>TIAA-CREF .05 (&lt; age 35)</t>
  </si>
  <si>
    <t>PERS - .0725</t>
  </si>
  <si>
    <t>PERS 1, 2, or 3</t>
  </si>
  <si>
    <t>Limited Number of Extension Faculty</t>
  </si>
  <si>
    <t>Administrative Professional</t>
  </si>
  <si>
    <t>Civil Service/Bargaining Unit</t>
  </si>
  <si>
    <t>Retirement plan may differ from employment category.  To determine retirement plan for current employees review DEPPS "qprexp" screen.</t>
  </si>
  <si>
    <t>Updated 8-4-11</t>
  </si>
  <si>
    <t>For less than full-time employees use part-time salary.</t>
  </si>
  <si>
    <t>Enter Monthly Salary--&gt;</t>
  </si>
  <si>
    <t>RATES TO BE USED FOR ESTIMATING EMPLOYEE BENEFITS FOR FY 2011</t>
  </si>
  <si>
    <t>(Rates are the employer contribution for non-federal employees)</t>
  </si>
  <si>
    <t>WSU</t>
  </si>
  <si>
    <t>Student</t>
  </si>
  <si>
    <t>Non-student</t>
  </si>
  <si>
    <t>Subobject</t>
  </si>
  <si>
    <t>Benefit Item</t>
  </si>
  <si>
    <t>Classified</t>
  </si>
  <si>
    <t>Graduate</t>
  </si>
  <si>
    <t>Hourly</t>
  </si>
  <si>
    <t>1,10</t>
  </si>
  <si>
    <t>DA</t>
  </si>
  <si>
    <t>OASI, $106,800 max</t>
  </si>
  <si>
    <t>.062 x SALARY</t>
  </si>
  <si>
    <t>2</t>
  </si>
  <si>
    <t>DB</t>
  </si>
  <si>
    <t>TIAA/CREF, 5%</t>
  </si>
  <si>
    <t>.0500 x Salary</t>
  </si>
  <si>
    <t>DC</t>
  </si>
  <si>
    <t>TIAA/CREF, 7.5%</t>
  </si>
  <si>
    <t>.0750 x Salary</t>
  </si>
  <si>
    <t>DD</t>
  </si>
  <si>
    <t>TIAA/CREF, 10%</t>
  </si>
  <si>
    <t>.1000 x Salary</t>
  </si>
  <si>
    <t>DE</t>
  </si>
  <si>
    <t>PERS I</t>
  </si>
  <si>
    <t>.0531 X Salary</t>
  </si>
  <si>
    <t>DF</t>
  </si>
  <si>
    <t>PERS II</t>
  </si>
  <si>
    <t>.0531 x Salary</t>
  </si>
  <si>
    <t>DM</t>
  </si>
  <si>
    <t>PERS III</t>
  </si>
  <si>
    <t>DG</t>
  </si>
  <si>
    <t>Med Aid/Wrk Comp</t>
  </si>
  <si>
    <t>27.33/FTE/Month</t>
  </si>
  <si>
    <t>DH</t>
  </si>
  <si>
    <t>WSTRS I</t>
  </si>
  <si>
    <t>.0614 x Salary</t>
  </si>
  <si>
    <t>DJ</t>
  </si>
  <si>
    <t>WSTRS II</t>
  </si>
  <si>
    <t>.0614 X Salary</t>
  </si>
  <si>
    <t>DK</t>
  </si>
  <si>
    <t>MEDICARE, no max</t>
  </si>
  <si>
    <t>.0145 x Salary</t>
  </si>
  <si>
    <t>DL</t>
  </si>
  <si>
    <t>LEOFF II</t>
  </si>
  <si>
    <t>.0862 X Salary</t>
  </si>
  <si>
    <t>HE</t>
  </si>
  <si>
    <t>HF</t>
  </si>
  <si>
    <t>7</t>
  </si>
  <si>
    <t>MA</t>
  </si>
  <si>
    <t>Unemploy. Insurance</t>
  </si>
  <si>
    <t>.004523 X Salary</t>
  </si>
  <si>
    <t>8</t>
  </si>
  <si>
    <t>MB</t>
  </si>
  <si>
    <t>Health Insurance</t>
  </si>
  <si>
    <t>850./Month  Est.</t>
  </si>
  <si>
    <t>Health Insurance (Represented)</t>
  </si>
  <si>
    <t>850./Month</t>
  </si>
  <si>
    <t>MC</t>
  </si>
  <si>
    <t>Grad Health Insurance</t>
  </si>
  <si>
    <t>1,420./Year Est.</t>
  </si>
  <si>
    <t>MD</t>
  </si>
  <si>
    <t>Most Common Retirement Plans</t>
  </si>
  <si>
    <t>Weighted</t>
  </si>
  <si>
    <t>Employee Type</t>
  </si>
  <si>
    <t>Plan</t>
  </si>
  <si>
    <t>Avg Rate</t>
  </si>
  <si>
    <t>Civ Ser/Barg Unit</t>
  </si>
  <si>
    <t>PERS II (5.31%)</t>
  </si>
  <si>
    <t>Admin/Prof</t>
  </si>
  <si>
    <t>TIAA/CREF (7.5%)</t>
  </si>
  <si>
    <t>Notes:</t>
  </si>
  <si>
    <t>Faculty up to 35 years of age are on TIAA/CREF 5%; faculty aged 35 and above are on TIAA/CREF 7.5%.  At age 50, faculty have</t>
  </si>
  <si>
    <t>the option of participating in TIAA/CREF 10%.  Exempt employees may elect PERS or TIAA/CREF with the same percentage/age</t>
  </si>
  <si>
    <t>distribution as faculty.   Some classified employees with a lengthy employment history of state service may be covered by</t>
  </si>
  <si>
    <t>TIAA/CREF with the same percentage/age distribution.</t>
  </si>
  <si>
    <t>This is the PERS rate changed 9/1/09 from .0529</t>
  </si>
  <si>
    <t>Medical Aid/Worker's Compensation is a per hour cost of .1708; monthly maximum hours are 160, for a monthly</t>
  </si>
  <si>
    <t>maximum of $27.33.  The rate applies to productive hours, so a person working full-time on a 9-month appointment</t>
  </si>
  <si>
    <t>would expense $27.33 x 9 = $245.97 annually.</t>
  </si>
  <si>
    <t>Some employees with a lengthy employment history of state service may be covered by the Washington State</t>
  </si>
  <si>
    <t>Teachers Retirement System.</t>
  </si>
  <si>
    <t>Non-Student Temporary Employees (NSTE) employees become eligible for PERS if they work 70 or more hours per month in any five months of a</t>
  </si>
  <si>
    <t>12-month period. The WSU contributions are absorbed by the departments in subobjects HE, HF and HM.</t>
  </si>
  <si>
    <t>Unemployment insurance is a rate based on historical patterns by program.  The weighted average for all programs is .004523.</t>
  </si>
  <si>
    <t xml:space="preserve">To calculate unemployment more accurately,  open cell note      here.  (Press Shift-F2 and page up to the top of the note.) </t>
  </si>
  <si>
    <t>Health Insurance is a FIXED rate over 12 months.  For employees working at 0.50 FTE or above, the full monthly rate</t>
  </si>
  <si>
    <t>of $850. applies over 12 months, even if the employee is on a 9-month appointment.</t>
  </si>
  <si>
    <t xml:space="preserve">Non student temporary employees become eligible for medical insurance in the seventh month if they work 480 or more hours in a consecutive six </t>
  </si>
  <si>
    <t>month period. They must work at least 8 hours in each of the consecutive six months. These WSU contributions are absorbed by the departments</t>
  </si>
  <si>
    <t>in subobject MD)</t>
  </si>
  <si>
    <t>Year6</t>
  </si>
  <si>
    <t>*Draft* General Benefits Model for FY 2012</t>
  </si>
  <si>
    <t>DA = OASI, $ 110,250 max.</t>
  </si>
  <si>
    <t>MA = Unemployment Ins. See Est Ben pg</t>
  </si>
  <si>
    <t>MB = Health Insurance (monthly rate)</t>
  </si>
  <si>
    <t>MC = Grad Health Ins. (semester rate)</t>
  </si>
  <si>
    <t>MD = Health Ins. (NSTE) (monthly rate)</t>
  </si>
  <si>
    <t xml:space="preserve">x 12 (if &gt;= 480 hours in 6 consec. months) </t>
  </si>
  <si>
    <t>QT = Qualified Tuition Red (Semester rate)</t>
  </si>
  <si>
    <t>=    (0.156 x Salary) + (33.81 x FTE x Term) + 10200</t>
  </si>
  <si>
    <t>=    (0.15780 x Salary) + (33.81 x FTE x Term) + 10200</t>
  </si>
  <si>
    <t>=    (0.1625 x Salary) + (33.81 x FTE x Term) + 10200</t>
  </si>
  <si>
    <t>=            -0-              + (33.81 x FTE x Term) + 1480  (+ 9088 if QTR)</t>
  </si>
  <si>
    <t>FY 12</t>
  </si>
  <si>
    <t xml:space="preserve">     FT= 2.4%       PT= 10.1%</t>
  </si>
  <si>
    <t xml:space="preserve">         10.1%              17.6%</t>
  </si>
  <si>
    <t>The $110,250 OASI maximum is the fiscal year average of 2011 at $106,800 and 2012 at $113,700.</t>
  </si>
  <si>
    <t>The civil service/bargaining unit retirement plan rate used is PERS  (0.075).</t>
  </si>
  <si>
    <t>The A/P and faculty retirement plan rate used is the WSU weighted average (0.0769  and 0.0815, respectively).</t>
  </si>
  <si>
    <t>employee type from "Feb 28, 2011"  employee / appointment data obtained from the data warehouse.  No such data</t>
  </si>
  <si>
    <t xml:space="preserve">NSTEs become eligible for medical insurance in the seventh month if they work 480 or more hours in a consecutive six month period. </t>
  </si>
  <si>
    <t>They must work at least 8 hours in each of the six consecutive months. These WSU contributions are absorbed by the departments</t>
  </si>
  <si>
    <t xml:space="preserve"> in subobjects HE, HF, HM and MD)</t>
  </si>
  <si>
    <t>added to those &gt;=.5FTE grads who did not receive an Operating Fee Waiver.  The QTR for this FY is $9,088.</t>
  </si>
  <si>
    <t>*DRAFT* RATES TO BE USED FOR ESTIMATING EMPLOYEE BENEFITS FOR FY 2012</t>
  </si>
  <si>
    <t>OASI, $110,250 max</t>
  </si>
  <si>
    <t>.075 X Salary</t>
  </si>
  <si>
    <t>.075 x Salary</t>
  </si>
  <si>
    <t>33.81/FTE/Month</t>
  </si>
  <si>
    <t>.0804 x Salary</t>
  </si>
  <si>
    <t>.0804 X Salary</t>
  </si>
  <si>
    <t>.004459 X Salary</t>
  </si>
  <si>
    <t>1,480./Year Est.</t>
  </si>
  <si>
    <t>850./Month Est.</t>
  </si>
  <si>
    <t>QT</t>
  </si>
  <si>
    <t>Qualified Tuition Red.</t>
  </si>
  <si>
    <t>9,088./Year Est.</t>
  </si>
  <si>
    <t>PERS II (7.5%)</t>
  </si>
  <si>
    <t>This is the PERS rate changed 7/1/11 from .0531</t>
  </si>
  <si>
    <t>Medical Aid/Worker's Compensation is a per hour cost of .2113; monthly maximum hours are 160, for a monthly</t>
  </si>
  <si>
    <t>maximum of $33.81.  The rate applies to productive hours, so a person working full-time on a 9-month appointment</t>
  </si>
  <si>
    <t>would expense $33.81 x 9 = $304.29 annually.</t>
  </si>
  <si>
    <t>Unemployment insurance is a rate based on historical patterns by program.  The weighted average for all programs is .004459.</t>
  </si>
  <si>
    <t xml:space="preserve">To calculate unemployment more accurately,  open cell  note   here.  (Press Shift-F2 and page up to the top of the note.) </t>
  </si>
  <si>
    <t>Total Requested Award (DC + F&amp;A)</t>
  </si>
  <si>
    <t>MTDC F&amp;A Rate</t>
  </si>
  <si>
    <t>F1</t>
  </si>
  <si>
    <t>TOTAL FUNDS REQUESTED</t>
  </si>
  <si>
    <t>Total Exemptions (subcontr, equip, etc.)</t>
  </si>
  <si>
    <t>USDA Statutory Rate</t>
  </si>
  <si>
    <t>F2</t>
  </si>
  <si>
    <t>TOTAL EXEMPTIONS WITHOUT EXCLUSIONS</t>
  </si>
  <si>
    <t>(I.E. ALL QTR, TOTAL OF ALL SUBCONTRACTS, EQUIPMENT, RENT ETC)</t>
  </si>
  <si>
    <t>Total Requested Amount</t>
  </si>
  <si>
    <t>Total Exempted Amount</t>
  </si>
  <si>
    <t>Non-exempt Amount</t>
  </si>
  <si>
    <t>Exempt Amount</t>
  </si>
  <si>
    <t>Modified Tot Dir Costs (MTDC)</t>
  </si>
  <si>
    <t>F3</t>
  </si>
  <si>
    <t>ENTER TOTAL NON-EXCLUSIONS FROM SUBCONTRACTORS</t>
  </si>
  <si>
    <t>— (</t>
  </si>
  <si>
    <t>—</t>
  </si>
  <si>
    <t>)</t>
  </si>
  <si>
    <t>\</t>
  </si>
  <si>
    <t>=</t>
  </si>
  <si>
    <t>UP TO the 1st $25K of each subcontract issued</t>
  </si>
  <si>
    <t>1 + Applicable F&amp;A Rate</t>
  </si>
  <si>
    <t>For example:</t>
  </si>
  <si>
    <t>$500K requested USDA 22% or our MTDC, whichever is lower</t>
  </si>
  <si>
    <t>MTDC F&amp;A recovery</t>
  </si>
  <si>
    <t>Check Figure</t>
  </si>
  <si>
    <t xml:space="preserve">Subcontracts: </t>
  </si>
  <si>
    <t>x</t>
  </si>
  <si>
    <t>Calc F&amp;A</t>
  </si>
  <si>
    <t>Exempt Amt</t>
  </si>
  <si>
    <t>non-exempt total is $25K + $20K</t>
  </si>
  <si>
    <t>use our MTDC at 26%</t>
  </si>
  <si>
    <t>TDC F&amp;A recovery</t>
  </si>
  <si>
    <t>Total Awd-to-TDC converted rate</t>
  </si>
  <si>
    <t>F&amp;A Difference Check Figure</t>
  </si>
  <si>
    <t>TDC to MTDC Comparison Check Figure</t>
  </si>
  <si>
    <t>Difference</t>
  </si>
  <si>
    <t>Reference:</t>
  </si>
  <si>
    <t>http://www.csrees.usda.gov/business/awards/indirect_cost.html</t>
  </si>
  <si>
    <t xml:space="preserve">originating website: </t>
  </si>
  <si>
    <t>http://sra-catalyst.srainternational.org/uploads/File/USDA_IDC_RateComparison.xls</t>
  </si>
  <si>
    <t>Total Non-exempted from subcontractors</t>
  </si>
  <si>
    <t>sbct 1 - $60K</t>
  </si>
  <si>
    <t>sbct 2 - $20K</t>
  </si>
  <si>
    <t>YR1</t>
  </si>
  <si>
    <t>YR2</t>
  </si>
  <si>
    <t>YR3</t>
  </si>
  <si>
    <t>YR4</t>
  </si>
  <si>
    <t>YR5</t>
  </si>
  <si>
    <t>YR6</t>
  </si>
  <si>
    <t>PhD Student ~ Step #</t>
  </si>
  <si>
    <t>Master Student ~ Step #</t>
  </si>
  <si>
    <t>SBCT IC (?%)</t>
  </si>
  <si>
    <t>TOTAL DIRECTS (DCs &amp; Consortium F&amp;A) - before exclusions</t>
  </si>
  <si>
    <t>General Benefits Model for FY 2012</t>
  </si>
  <si>
    <t>DA = OASI, $ 108,750 max.</t>
  </si>
  <si>
    <t>=    (0.1535 x Salary) + (33.81 x FTE x Term) + 10200</t>
  </si>
  <si>
    <t>=    (0.15610 x Salary) + (33.81 x FTE x Term) + 10200</t>
  </si>
  <si>
    <t>=    (0.1618 x Salary) + (33.81 x FTE x Term) + 10200</t>
  </si>
  <si>
    <t xml:space="preserve">     FT= 2.4%       PT= 10.%</t>
  </si>
  <si>
    <t xml:space="preserve">         10.%              17.3%</t>
  </si>
  <si>
    <t>The $108,750 OASI maximum is the fiscal year average of 2011 at $106,800 and 2012 estimated at $110,700.</t>
  </si>
  <si>
    <t>The civil service/bargaining unit retirement plan rate used is PERS  (0.0725).</t>
  </si>
  <si>
    <t>The A/P and faculty retirement plan rate used is the WSU weighted average (0.0752  and 0.0809, respectively).</t>
  </si>
  <si>
    <t>employee type from "Sept 28, 2011"  employee / appointment data obtained from the data warehouse.  No such data</t>
  </si>
  <si>
    <t>RATES TO BE USED FOR ESTIMATING EMPLOYEE BENEFITS FOR FY 2012</t>
  </si>
  <si>
    <t>OASI, $108,750 max</t>
  </si>
  <si>
    <t>.0725 X Salary</t>
  </si>
  <si>
    <t>.0725 x Salary</t>
  </si>
  <si>
    <t>PERS II (7.25%)</t>
  </si>
  <si>
    <t>This is the PERS rate changed 9/1/11 from .0707</t>
  </si>
  <si>
    <t xml:space="preserve">To calculate unemployment more accurately,  open cell  note   here.  (Press Shift-F2 and page up to the top of the note for instructions.) </t>
  </si>
  <si>
    <t>Budget Template Instructions</t>
  </si>
  <si>
    <r>
      <t xml:space="preserve">IF the MTDC F&amp;A recovery is less than the TDC F&amp;A recovery then use use the Standard F&amp;A Rate with MTDC base.  Otherwise, use the </t>
    </r>
    <r>
      <rPr>
        <b/>
        <u/>
        <sz val="10"/>
        <color indexed="10"/>
        <rFont val="Calibri"/>
        <family val="2"/>
      </rPr>
      <t>Converted USDA Statutory Rate</t>
    </r>
    <r>
      <rPr>
        <b/>
        <sz val="10"/>
        <color indexed="10"/>
        <rFont val="Calibri"/>
        <family val="2"/>
      </rPr>
      <t xml:space="preserve"> and TDC base.</t>
    </r>
  </si>
  <si>
    <r>
      <t xml:space="preserve">Direct Cost Variance (+/-)    </t>
    </r>
    <r>
      <rPr>
        <b/>
        <i/>
        <sz val="10"/>
        <rFont val="Calibri"/>
        <family val="2"/>
      </rPr>
      <t>Last Column (cumulative) should equal zero</t>
    </r>
  </si>
  <si>
    <t>Agency Name:</t>
  </si>
  <si>
    <t>MTDC BASE</t>
  </si>
  <si>
    <t xml:space="preserve">PI Name(s): </t>
  </si>
  <si>
    <t>TOTAL DIRECT COSTS</t>
  </si>
  <si>
    <t>TOTAL COSTS</t>
  </si>
  <si>
    <t>Total Stipends/Subsidies/Participant Support Costs</t>
  </si>
  <si>
    <t>To use the chart, simply enter the percent effort that you want to convert into person-months in Cell A11</t>
  </si>
  <si>
    <t>The person-months for 3, 6, 8, 9, 10, and 12 month appointments will be displayed simultaneously.</t>
  </si>
  <si>
    <t>Graduate Assistant benefit rate is</t>
  </si>
  <si>
    <t xml:space="preserve">based on a 50% or greater academic  </t>
  </si>
  <si>
    <t>year appointment.  If less than 50%,</t>
  </si>
  <si>
    <t>not eligible for health insurance.</t>
  </si>
  <si>
    <t>Graduate Assistants</t>
  </si>
  <si>
    <t>Graduate Assistants w/QTR</t>
  </si>
  <si>
    <t>ck inflation below:</t>
  </si>
  <si>
    <t>Summer</t>
  </si>
  <si>
    <t>9-mo AY</t>
  </si>
  <si>
    <t>COS</t>
  </si>
  <si>
    <t>DVM</t>
  </si>
  <si>
    <t>MBA</t>
  </si>
  <si>
    <t>Pharmacy</t>
  </si>
  <si>
    <t>NURSING</t>
  </si>
  <si>
    <t>Updated 2-1-13</t>
  </si>
  <si>
    <t>Med. Aid  - .18985 x 160</t>
  </si>
  <si>
    <t>Med. Aid  - .18985 x 80</t>
  </si>
  <si>
    <t>NOTE: In 2015 health insurance is to increase from $809 to $820.</t>
  </si>
  <si>
    <t>COST-SHARE BUDGET</t>
  </si>
  <si>
    <r>
      <t xml:space="preserve">NON-CAPITALIZED EQUIPMENT - 16 </t>
    </r>
    <r>
      <rPr>
        <i/>
        <sz val="10"/>
        <rFont val="Calibri"/>
        <family val="2"/>
      </rPr>
      <t>(e.g. Laptops w/agcy approval)</t>
    </r>
  </si>
  <si>
    <t>Total Non-Capitalized Equipment ("Small &amp; Attractive" Items)</t>
  </si>
  <si>
    <t>HHS/NIH</t>
  </si>
  <si>
    <t>NOTE Regarding the OASI Rate of 6.2% for 2013:</t>
  </si>
  <si>
    <r>
      <t xml:space="preserve">The $111,900 OASI cap is the FY average of 2012 at $110,100 and 2013 at $113,700;  </t>
    </r>
    <r>
      <rPr>
        <b/>
        <sz val="9"/>
        <rFont val="Arial Narrow"/>
        <family val="2"/>
      </rPr>
      <t>The benefits rate may be affected if the OASI Salary Cap limit is exceeded.</t>
    </r>
  </si>
  <si>
    <t>00 - SALARIES</t>
  </si>
  <si>
    <t>01 - WAGES</t>
  </si>
  <si>
    <t>07 - BENEFITS</t>
  </si>
  <si>
    <t>04 - TRAVEL</t>
  </si>
  <si>
    <t>05 - COMPUTER SERVICES</t>
  </si>
  <si>
    <t>06 - CAPITAL EQUIPMENT ( &gt;$5,000)</t>
  </si>
  <si>
    <t>14 - RESTRICTED: incl. SUBAWARDS/SUBCONTRACTS</t>
  </si>
  <si>
    <r>
      <t xml:space="preserve">16 - NON-CAPITALIZED EQUIPMENT </t>
    </r>
    <r>
      <rPr>
        <i/>
        <sz val="10"/>
        <rFont val="Calibri"/>
        <family val="2"/>
      </rPr>
      <t>(e.g. Laptops w/agcy approval)</t>
    </r>
  </si>
  <si>
    <t>13 - FACILITIES &amp; ADMINISTRATIVE COSTS (F&amp;A, IDCs, OVERHEAD)</t>
  </si>
  <si>
    <t xml:space="preserve">F&amp;A Rate: </t>
  </si>
  <si>
    <t>SUBAWARDS/RESTRICTED - 14</t>
  </si>
  <si>
    <t xml:space="preserve">SUBAWARD One </t>
  </si>
  <si>
    <t>Direct Costs</t>
  </si>
  <si>
    <t>Indirect Costs</t>
  </si>
  <si>
    <t>SUBAWARD Two</t>
  </si>
  <si>
    <t>PI, Co-PIs, Other Personnel</t>
  </si>
  <si>
    <t>Step 53</t>
  </si>
  <si>
    <t>STEP-53    Level Research Assistant -- 50% Appointment  (Inflate 4% for Subsequent Years)</t>
  </si>
  <si>
    <t>Volunteer Hours</t>
  </si>
  <si>
    <t>If you decide to use an actual benefit rate rather than the weighted average, click on the cell with the benefit rate you wish to override, select the "Data" Tab in Excel, double-click "Data Validation" under the "Data Tools" section, then drag down the "Allow" field from "List" to "Any Value" under Validation criteria, as shown below (check "Apply these changes to all other cells with the same setting" if you wish to override more than one of the benefits rates).  The cell will now allow you to enter an actual rate and the formatting in the remainder of the page will remain the same. Once you click out of the cell, the pop-up box with information will disappear.</t>
  </si>
  <si>
    <t xml:space="preserve">When calculating the PhD Student and Master Student Salary, QTR, and Health in the first year of your proposed budget, please use the appropriate Matrix provided in the Excel workbook for your area (e.g. General, COS, DVM, etc.).  </t>
  </si>
  <si>
    <t xml:space="preserve">Column O on the Sponsor and Cost Share budget worksheets is an additional mechanism for "checking" the proposed budget.  Column O is similar to Column  N , however, Column O  sums  the row (horizontally) rather then the column (vertically).    </t>
  </si>
  <si>
    <t>To see the formula, either click on the cell and check the formula bar or press Ctrl ~ to view or close all cell formulas in the worksheet.</t>
  </si>
  <si>
    <t>Please read Guideline 2: Budget Assistance Information for Preparing Sponsored Program Proposals at</t>
  </si>
  <si>
    <t xml:space="preserve">Please use the template from the ORSO website to ensure the rates are accurate/up to date and that the formulas have not been corrupted. </t>
  </si>
  <si>
    <r>
      <t>There are three benefit rates for Faculty, Exempt, and Civil Service &amp; Barganing Units listed.  To view and select the appropriate rate for the person you are requesting funds for, please click in the cell next to "</t>
    </r>
    <r>
      <rPr>
        <i/>
        <sz val="12"/>
        <color theme="4"/>
        <rFont val="Tahoma"/>
        <family val="2"/>
      </rPr>
      <t>Benefits</t>
    </r>
    <r>
      <rPr>
        <sz val="12"/>
        <color theme="4"/>
        <rFont val="Tahoma"/>
        <family val="2"/>
      </rPr>
      <t>" that shows a percentage as listed below.  Once you click on the cell you will be able to choose one of the following items from the drop down menu:</t>
    </r>
  </si>
  <si>
    <t>FACULTY</t>
  </si>
  <si>
    <t>EXEMPT</t>
  </si>
  <si>
    <t>CIVIL SERVICE</t>
  </si>
  <si>
    <t>BARGAINING UNITS</t>
  </si>
  <si>
    <t>STUDENT FT</t>
  </si>
  <si>
    <t>STUDENT PT</t>
  </si>
  <si>
    <t>NSTE NO BEN</t>
  </si>
  <si>
    <t>NSTE PERS</t>
  </si>
  <si>
    <t>NSTE HEALTH/PERS</t>
  </si>
  <si>
    <t>OASI</t>
  </si>
  <si>
    <t xml:space="preserve">Medicare </t>
  </si>
  <si>
    <t xml:space="preserve">PERS </t>
  </si>
  <si>
    <t>CSRS</t>
  </si>
  <si>
    <t xml:space="preserve">Unempl </t>
  </si>
  <si>
    <t xml:space="preserve">Med. Aid </t>
  </si>
  <si>
    <t>Graduate Assistant benefit rate is based on a 50% or greater academic  year appointment.  If less than 50%, not eligible for health insurance.</t>
  </si>
  <si>
    <t>FERS</t>
  </si>
  <si>
    <t>TSP</t>
  </si>
  <si>
    <t>*$13.50 is the average contribution for federal life insurance.  For actual individual dollar amount review DEPPS "qprexp" screen.</t>
  </si>
  <si>
    <t>QTR/Semester</t>
  </si>
  <si>
    <t>TIAA-CREF (&lt;age 35)</t>
  </si>
  <si>
    <t>TIAA-CREF (age 35+)</t>
  </si>
  <si>
    <t>TIAA-CREF (option age 50+)</t>
  </si>
  <si>
    <t>Health/Semester</t>
  </si>
  <si>
    <t>Grad Health Insurance Rates</t>
  </si>
  <si>
    <t>Fall</t>
  </si>
  <si>
    <t>Graduate Assistants (Monthly)</t>
  </si>
  <si>
    <t>Monthly Benefit Calculations</t>
  </si>
  <si>
    <t>Graduate Assistants w/QTR (Monthly)</t>
  </si>
  <si>
    <t>Spring/Summer</t>
  </si>
  <si>
    <t>Please update red cells as necessary</t>
  </si>
  <si>
    <t>Please Note that the matrices are based on the Graduate School published rates. If you are using an "old" template with inflated matrices rates, please update to the current published matrices. If you need a step that is not contained in the matrices, please email orso@wsu.edu.</t>
  </si>
  <si>
    <t>Washington State University Budget Office</t>
  </si>
  <si>
    <t>https://hrs.wsu.edu/temporary-seasonal-employee-benefits/</t>
  </si>
  <si>
    <t>N/A</t>
  </si>
  <si>
    <t>DN</t>
  </si>
  <si>
    <t>HM</t>
  </si>
  <si>
    <t>.062 x Salary</t>
  </si>
  <si>
    <t>WSTRS III</t>
  </si>
  <si>
    <t>Payroll Services</t>
  </si>
  <si>
    <t>Office of Research Support and Operations</t>
  </si>
  <si>
    <t>http://hrs.wsu.edu/</t>
  </si>
  <si>
    <t>IF ANY INTERNATIONAL COLLABORATION OR FOREIGN INVOLVEMENT IN THIS PROPOSAL IS EXPECTED PLEASE REVIEW THE INFORMATION FOUND AT http://www.orso.wsu.edu/international.asp</t>
  </si>
  <si>
    <t>MODULAR BUDGET</t>
  </si>
  <si>
    <t>Classified Staff - weighted rate for C/S and B/U (Rounded to the first decimal place in the workbook)</t>
  </si>
  <si>
    <t>http://orso.or.wsu.edu</t>
  </si>
  <si>
    <t>https://sps.wsu.edu/fa-documents/</t>
  </si>
  <si>
    <t xml:space="preserve">QTR inflation - 4%/year </t>
  </si>
  <si>
    <t>Please note the 4% QTR inflation rate is recommended until further notice.</t>
  </si>
  <si>
    <t>ASSISTANTSHIP STIPEND GUIDE</t>
  </si>
  <si>
    <t>Range</t>
  </si>
  <si>
    <t xml:space="preserve">                                              Washington State University Budget Office </t>
  </si>
  <si>
    <t>TIAA, 5%</t>
  </si>
  <si>
    <t>TIAA, 7.5%</t>
  </si>
  <si>
    <t>TIAA, 10%</t>
  </si>
  <si>
    <t>ML</t>
  </si>
  <si>
    <t>Weighted Avg Rate</t>
  </si>
  <si>
    <t>(all plans)</t>
  </si>
  <si>
    <t>TIAA (7.5%)</t>
  </si>
  <si>
    <t xml:space="preserve">Eligible Faculty and AP employees are offered the WSURP (TIAA as the vendor) and TRS3/PERS3 as retirement plans.   If the WSURP is selected, participants </t>
  </si>
  <si>
    <t xml:space="preserve">up to 35 years contribute 5%; aged 35 and above contribute 7.5%; and at age 50, participants have the option of contributing 10%.   </t>
  </si>
  <si>
    <t xml:space="preserve"> Eligibility for retirement participation requires a 50% appointment for at least one semester, or the equivalency thereof. </t>
  </si>
  <si>
    <t xml:space="preserve">Rates are per the Washington State Actuarial Services Projected Employer Contribution Rates Schedule. </t>
  </si>
  <si>
    <t xml:space="preserve">PERS plans are the primary plans for classified employees, eligible hourly employees, and also a plan choice for AP employees. </t>
  </si>
  <si>
    <t xml:space="preserve">Some employees with a lengthy employment history of state service may be covered by the Washington State Teachers Retirement Systems Plan 1. New faculty hired on or after 7/1/11 have </t>
  </si>
  <si>
    <t xml:space="preserve">TRS 3 as a plan choice in addition to the WSURP.  New employees with prior state service under TRS 1 or TRS 3 may have the option to elect these plans. (Rates effective 9/1 to 8/31 each year). </t>
  </si>
  <si>
    <t xml:space="preserve">Health Insurance ( health, dental, basic life &amp;ltd) is a FIXED rate over 12 months*.  For eligible employees working at 0.50 FTE or above, the full monthly rate  applies over 12 months, </t>
  </si>
  <si>
    <t xml:space="preserve">even if the employee is on a 9-month appointment.  All classified staff and AP are benefit eligible appointments. Faculty become eligible for benefits under several different criterion.  </t>
  </si>
  <si>
    <t xml:space="preserve">Please contact HRS for eligibility clarification. </t>
  </si>
  <si>
    <t xml:space="preserve">OASI and Medicare will be taken for all non-student employees for any non-business related meals reimbursed for non-overnight travel. </t>
  </si>
  <si>
    <t>QTR per WSU tuition rate schedule (operating fee).</t>
  </si>
  <si>
    <t>Classified employees may participate in the WSURP because of previous employment in an eligible job classification type.</t>
  </si>
  <si>
    <t>For assistance, please contact the Budget Office at (509) 335-9187.  Additional helpful links are below:</t>
  </si>
  <si>
    <t>https://payroll.wsu.edu/</t>
  </si>
  <si>
    <t>https://orso.wsu.edu/</t>
  </si>
  <si>
    <t xml:space="preserve">For questions about benefit and retirement eligibility, please contact: </t>
  </si>
  <si>
    <t xml:space="preserve">Human Resource Services at (509) 335-4521 or hrs@wsu.edu. </t>
  </si>
  <si>
    <t xml:space="preserve">         x FTE x Term</t>
  </si>
  <si>
    <t>3,11</t>
  </si>
  <si>
    <t>Weighted Average CS/BU/EX/FAC</t>
  </si>
  <si>
    <t>Graduate Student (no QTR unless noted)</t>
  </si>
  <si>
    <t>Student Hourly (no Grad Appt.)</t>
  </si>
  <si>
    <t xml:space="preserve">                         No PERS/Hlth</t>
  </si>
  <si>
    <t>Eligibility for benefits can be achieved 1) upon their initial appointment, 2) through actual work pattern, or 3) if they are employed on a recurring</t>
  </si>
  <si>
    <t>OASI and Medicare will be taken for all non-student employees for any non-business related meals reimbursed for non-overnight travel.</t>
  </si>
  <si>
    <t xml:space="preserve">For cyclic arrangements, please review benefit costs on an individual basis. </t>
  </si>
  <si>
    <t>PFMLA</t>
  </si>
  <si>
    <t>The Health benefits lines for Grad Students formerly filled in from the GRA Matrix (Rows 22 and 26) have been greyed out.  Rows 23 and 27 now labeled “Benefits” have incorporated all applicable benefits (Medical Aid, Worker Comp, Paid Family Medical Leave, Health Insurance) into one percentage rate from the Benefits Models, formerly 1.5%.</t>
  </si>
  <si>
    <t>Classified Staff:</t>
  </si>
  <si>
    <t>A rate of 0.0541 applies to student volunteers.</t>
  </si>
  <si>
    <t xml:space="preserve"> Updated: </t>
  </si>
  <si>
    <t>.0541 per hour</t>
  </si>
  <si>
    <t>Total Benefits (minus QTR)</t>
  </si>
  <si>
    <t>Tuition (QTR)  - 07QT</t>
  </si>
  <si>
    <t>Grant Manager:</t>
  </si>
  <si>
    <t>Cost Center:</t>
  </si>
  <si>
    <t>IS THIS NIH FUNDED?</t>
  </si>
  <si>
    <t>Workday required budget info:</t>
  </si>
  <si>
    <t>Check against the NIH Salary Cap here https://grants.nih.gov/grants/policy/salcap_summary.htm</t>
  </si>
  <si>
    <t>Grant PI Name:</t>
  </si>
  <si>
    <t xml:space="preserve">12-month period. The WSU contributions are absorbed by the departments in in Workday spend category SC00011. </t>
  </si>
  <si>
    <t>be achieved 1) upon their initial appointment, 2) through actual work pattern, or 3) if they are employed on a recurring seasonal basis.  Details on eligibility can be found at:</t>
  </si>
  <si>
    <t xml:space="preserve">x 12 </t>
  </si>
  <si>
    <t>Region/Campus:</t>
  </si>
  <si>
    <t>SC00010</t>
  </si>
  <si>
    <t>SC00011</t>
  </si>
  <si>
    <t>SC00012</t>
  </si>
  <si>
    <t>SC00017</t>
  </si>
  <si>
    <t>.0871 X Salary</t>
  </si>
  <si>
    <t>SC00015</t>
  </si>
  <si>
    <t>.0018 X Salary</t>
  </si>
  <si>
    <t>SC00013</t>
  </si>
  <si>
    <t>SC00018</t>
  </si>
  <si>
    <t>SC00345</t>
  </si>
  <si>
    <t>The current unemployment insurance rate for all programs is .0018 effective July 1, 2021.</t>
  </si>
  <si>
    <t>FY 22</t>
  </si>
  <si>
    <t>The unemployment insurance rate of .0018 is standard across all functional classifications in Workday (programs in legacy systems).</t>
  </si>
  <si>
    <t>https://grants.nih.gov/grants/guide/notice-files/NOT-OD-21-049.html</t>
  </si>
  <si>
    <t>NRSA Stipends, Tuition/Fees and Other Budgetary Levels Effective for Fiscal Year 2021</t>
  </si>
  <si>
    <t>WSU's Standard Negotiated 2019-2023 F&amp;A rates:  (Agreement w/DHHS dated 8/20/2019), Agency Contact: Helen Fung; (415) 437-7820</t>
  </si>
  <si>
    <r>
      <t xml:space="preserve">Retirement plan may differ from employment category.  To determine retirement plan for current employees review the employee’s profile in Workday, under the </t>
    </r>
    <r>
      <rPr>
        <b/>
        <i/>
        <sz val="12"/>
        <rFont val="Calibri"/>
        <family val="2"/>
        <scheme val="minor"/>
      </rPr>
      <t>Benefits</t>
    </r>
    <r>
      <rPr>
        <b/>
        <sz val="12"/>
        <rFont val="Calibri"/>
        <family val="2"/>
        <scheme val="minor"/>
      </rPr>
      <t xml:space="preserve"> menu.  </t>
    </r>
  </si>
  <si>
    <t>https://policies.wsu.edu/prf/index/manuals/70-00-purchasing/</t>
  </si>
  <si>
    <t>($772 Fall; $1271 Spring &amp; Summer)</t>
  </si>
  <si>
    <t>FY 23</t>
  </si>
  <si>
    <t xml:space="preserve">Please refer to the  Student Pay section on the Payroll Services website for information.  </t>
  </si>
  <si>
    <t>.3466 x 160</t>
  </si>
  <si>
    <t>.3466 x 80</t>
  </si>
  <si>
    <t>Workday</t>
  </si>
  <si>
    <t>Legacy AIS</t>
  </si>
  <si>
    <t>Spend Category</t>
  </si>
  <si>
    <t>55.46 / FTE/ Month</t>
  </si>
  <si>
    <t xml:space="preserve">2,524 /Year </t>
  </si>
  <si>
    <t>Medical Aid/Worker's Compensation is a per hour cost of .3466 ; monthly maximum hours are 160, for a monthly maximum</t>
  </si>
  <si>
    <t>of $55.46.  The rate applies to productive hours, so a person working full-time on a 9-month appointment would expense $55.46 x 9 = $499.14 annually.</t>
  </si>
  <si>
    <t>This version includes FY23 updates from the Budget Office which will be in effect until further notice.</t>
  </si>
  <si>
    <t>Purchased Services - 02</t>
  </si>
  <si>
    <t>02 - PURCHASED SERVICES (Personal Services Contracts and Consultants and Computer Services)</t>
  </si>
  <si>
    <t>Salaries and Wages - 00 &amp; 01</t>
  </si>
  <si>
    <t>Scholarships and Fellowships  - 08</t>
  </si>
  <si>
    <t>08 - SCHOLARSHIPS AND FELLOWSHIPS (SUBSIDIES/PARTICIPANT SUPPORT COSTS)</t>
  </si>
  <si>
    <t>Award Restrictions  - 14</t>
  </si>
  <si>
    <t>14 - AWARD RESTRICTIONS (RESTRICTED: incl. SUBAWARDS/SUBCONTRACTS)</t>
  </si>
  <si>
    <t>03 - GOODS/SERVICES (Including Small/Attractive Items)</t>
  </si>
  <si>
    <t>Date</t>
  </si>
  <si>
    <t>Full-Time 
(1.0 FTE)
Monthly</t>
  </si>
  <si>
    <t>Half-Time 
(.50 FTE)
Monthly</t>
  </si>
  <si>
    <t xml:space="preserve">Half-Time 
(.50 FTE) 
Bimonthly </t>
  </si>
  <si>
    <t>Half-Time 
(.50 FTE)
9-month</t>
  </si>
  <si>
    <t>Full-Time (1.0 FTE) 
Monthly</t>
  </si>
  <si>
    <t>Half-Time (.50 FTE) 
Monthly</t>
  </si>
  <si>
    <t xml:space="preserve">Half-Time (.50 FTE) Bimonthly </t>
  </si>
  <si>
    <t>Half-Time (.50 FTE) 
9-month</t>
  </si>
  <si>
    <t>Workbook Updated: August 2023</t>
  </si>
  <si>
    <t>Draft General Benefits Model for FY 2024</t>
  </si>
  <si>
    <t>1,2</t>
  </si>
  <si>
    <t>,2</t>
  </si>
  <si>
    <t>OASI, $147,000 max.</t>
  </si>
  <si>
    <t>Medicare, no max.</t>
  </si>
  <si>
    <t>TIAA 5%</t>
  </si>
  <si>
    <t>TIAA 7.5%</t>
  </si>
  <si>
    <t>TIAA 10%</t>
  </si>
  <si>
    <t xml:space="preserve">Unemployment Ins. </t>
  </si>
  <si>
    <t xml:space="preserve">Med Aid / Wkr. Comp </t>
  </si>
  <si>
    <t>Health Insurance (monthly rate)</t>
  </si>
  <si>
    <t xml:space="preserve">Grad Health Ins. </t>
  </si>
  <si>
    <t>Qualified Tuition Red (semester rate)</t>
  </si>
  <si>
    <t>Paid Family/Medical Leave, $147,000 max.</t>
  </si>
  <si>
    <t>Health Ins. (Non-Permanent) (monthly rate)</t>
  </si>
  <si>
    <t>11,12</t>
  </si>
  <si>
    <t>=    (0.1722 x Salary) + (55.46 x FTE x Term) + 13740</t>
  </si>
  <si>
    <t>=    (0.1658 x Salary) + (55.46 x FTE x Term) + 13740</t>
  </si>
  <si>
    <t>=    (0.1637 x Salary) + (55.46 x FTE x Term) + 13740</t>
  </si>
  <si>
    <t>=            -0-              + (55.46 x FTE x Term) + 2524  (+ 12297 if QTR)</t>
  </si>
  <si>
    <t>FY 24</t>
  </si>
  <si>
    <t>Grad with QTR FY 24</t>
  </si>
  <si>
    <t>Non-Perm w/Pers &amp; Hlth FY 24</t>
  </si>
  <si>
    <t>Non-Perm w/ Pers FY 24</t>
  </si>
  <si>
    <t>13,14</t>
  </si>
  <si>
    <t>14,15</t>
  </si>
  <si>
    <t>The OASI taxable maximum is $160,200 for calendar year 2023. Rates are updated in January by the Social Security Administration.</t>
  </si>
  <si>
    <t xml:space="preserve">PERS employer contribution rate of 9.39% and TRS of 14.69% per the Office of the State Actuary. TRS rates are effective from 9/1 to 8/31 of each year.   </t>
  </si>
  <si>
    <t>Non-Permanent employees become eligible for PERS if they work, or are anticipated to work, 70 or more hours per month in any five months of a</t>
  </si>
  <si>
    <t xml:space="preserve">Health insurance rate portion for employer health, dental, basic life &amp; ltd. Contribution breakout: Medical $1,058.32; Dental $80.63; Life $3.95; LTD $2.10. </t>
  </si>
  <si>
    <t>The graduate health insurance rate shown is for FY-23. FY-24 plans and rates are pending approval by the Washington Office of the Insurance Commissioner.</t>
  </si>
  <si>
    <t>The QTR is per the WSU tuition rate schedule (operating fee): $12,297 annually.</t>
  </si>
  <si>
    <t>Total paid FML contribution is .8% x Salary. Employer share of contribution is 27.24% .Employer contribution rate is .8% x 27.24% = .22%. Per law, witholdings are limited to the OASI cap.</t>
  </si>
  <si>
    <t>The civil service/bargaining unit retirement plan rate used is PERS  (0.0939).</t>
  </si>
  <si>
    <t xml:space="preserve">The WSU health contributions for non-permanent employees who become eligible for benefits are charged to their departments in Workday spend category SC00013.  Eligibility for benefits can </t>
  </si>
  <si>
    <t>employee type from HCM data obtained from Workday.  Student and non-permanent employee rates are estimated in the model</t>
  </si>
  <si>
    <t>and based on the current minimum wage. The non-permanent rate shows with and without PERS and medical insurance.</t>
  </si>
  <si>
    <t xml:space="preserve">The WSU health contributions for non-permanent employees who become eligible for benefits are charged to their departments in Workday spend category SC00013.  </t>
  </si>
  <si>
    <t>seasonal basis.  Details about non-permanent employee benefits can be found at :</t>
  </si>
  <si>
    <t>added to those &gt;= .5 FTE grads who did not receive an Operating Fee Waiver.  The QTR is per the WSU tuition rate schedule (operating fee): $12,297 annually.</t>
  </si>
  <si>
    <t xml:space="preserve">Rates for non-permanent employees are based on the minimum wage of $15.74 effective Jan. 1, 2023 times 160 hrs/month times 12 months. </t>
  </si>
  <si>
    <t>FINAL RATES TO BE USED FOR ESTIMATING EMPLOYEE BENEFITS FOR FY 2024</t>
  </si>
  <si>
    <t>1,6</t>
  </si>
  <si>
    <t>OASI, $160,200 max</t>
  </si>
  <si>
    <t>2,14</t>
  </si>
  <si>
    <t>.0939 x Salary</t>
  </si>
  <si>
    <t>.1469 x Salary</t>
  </si>
  <si>
    <t>.1469 X Salary</t>
  </si>
  <si>
    <t>1145 / Month</t>
  </si>
  <si>
    <t xml:space="preserve">1145 / Month </t>
  </si>
  <si>
    <t>Paid FML, $160,200 max</t>
  </si>
  <si>
    <t xml:space="preserve">.0022 x Salary </t>
  </si>
  <si>
    <t xml:space="preserve">12,297 / Year </t>
  </si>
  <si>
    <t>PERS II (9.39%)</t>
  </si>
  <si>
    <t>*Employees appointed to terms less than 9 months are eligible for insurance only for the length of their term.       Please contact HRS for eligibility questions.</t>
  </si>
  <si>
    <t>Updated August 2023</t>
  </si>
  <si>
    <t>(Effective 01/01/2023)</t>
  </si>
  <si>
    <r>
      <t xml:space="preserve">Graduate assistantship compensation range from step 6 to 118. Each department and program determines the most appropriate montly stipend based on the student’s qualifications, experience, academic standing, and availability of funds. Graduate assistantship appointments are typically half-time or .50 FTE (20 hours/week).
</t>
    </r>
    <r>
      <rPr>
        <b/>
        <sz val="11"/>
        <color rgb="FFFF0000"/>
        <rFont val="Calibri"/>
        <family val="2"/>
        <scheme val="minor"/>
      </rPr>
      <t xml:space="preserve">Graduate School recommends no less than Step 26 for Master's and no less than Step 32 for PhD students.
</t>
    </r>
    <r>
      <rPr>
        <b/>
        <sz val="11"/>
        <color theme="1"/>
        <rFont val="Calibri"/>
        <family val="2"/>
        <scheme val="minor"/>
      </rPr>
      <t>* Steps 1 though 5 are invalid as of 01/01/2023 due to WA state minimum wage increase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</si>
</sst>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dd\-mmm\-yy"/>
    <numFmt numFmtId="165" formatCode="0.0%"/>
    <numFmt numFmtId="166" formatCode="0.000%"/>
    <numFmt numFmtId="167" formatCode="0.0000_)"/>
    <numFmt numFmtId="168" formatCode="&quot;$&quot;#,##0.00"/>
    <numFmt numFmtId="169" formatCode="_(* #,##0.000_);_(* \(#,##0.000\);_(* &quot;-&quot;_);_(@_)"/>
    <numFmt numFmtId="170" formatCode="_(* #,##0.0000_);_(* \(#,##0.0000\);_(* &quot;-&quot;_);_(@_)"/>
    <numFmt numFmtId="171" formatCode="General_)"/>
    <numFmt numFmtId="172" formatCode="0.00000_)"/>
    <numFmt numFmtId="173" formatCode="mm/dd/yy;@"/>
    <numFmt numFmtId="174" formatCode="_(* #,##0.00000_);_(* \(#,##0.00000\);_(* &quot;-&quot;??_);_(@_)"/>
    <numFmt numFmtId="175" formatCode="_(* #,##0.00000_);_(* \(#,##0.00000\);_(* &quot;-&quot;_);_(@_)"/>
    <numFmt numFmtId="176" formatCode="_(&quot;$&quot;* #,##0_);_(&quot;$&quot;* \(#,##0\);_(&quot;$&quot;* &quot;-&quot;??_);_(@_)"/>
    <numFmt numFmtId="177" formatCode="&quot;$&quot;#,##0"/>
    <numFmt numFmtId="178" formatCode="_(* #,##0.0000_);_(* \(#,##0.0000\);_(* &quot;-&quot;??_);_(@_)"/>
    <numFmt numFmtId="179" formatCode="#,##0.0000_);[Red]\(#,##0.0000\)"/>
  </numFmts>
  <fonts count="162">
    <font>
      <sz val="10"/>
      <name val="Geneva"/>
    </font>
    <font>
      <sz val="11"/>
      <color theme="1"/>
      <name val="Calibri"/>
      <family val="2"/>
      <scheme val="minor"/>
    </font>
    <font>
      <sz val="10"/>
      <name val="Geneva"/>
      <family val="2"/>
    </font>
    <font>
      <u/>
      <sz val="10"/>
      <color indexed="12"/>
      <name val="Geneva"/>
      <family val="2"/>
    </font>
    <font>
      <b/>
      <sz val="12"/>
      <name val="Century Gothic"/>
      <family val="2"/>
    </font>
    <font>
      <b/>
      <u/>
      <sz val="12"/>
      <name val="Century Gothic"/>
      <family val="2"/>
    </font>
    <font>
      <sz val="10"/>
      <name val="Century Gothic"/>
      <family val="2"/>
    </font>
    <font>
      <b/>
      <sz val="18"/>
      <name val="Century Gothic"/>
      <family val="2"/>
    </font>
    <font>
      <b/>
      <i/>
      <sz val="18"/>
      <name val="Century Gothic"/>
      <family val="2"/>
    </font>
    <font>
      <b/>
      <sz val="14"/>
      <name val="Century Gothic"/>
      <family val="2"/>
    </font>
    <font>
      <sz val="7"/>
      <name val="Century Gothic"/>
      <family val="2"/>
    </font>
    <font>
      <sz val="9"/>
      <name val="Century Gothic"/>
      <family val="2"/>
    </font>
    <font>
      <b/>
      <i/>
      <sz val="10"/>
      <name val="Century Gothic"/>
      <family val="2"/>
    </font>
    <font>
      <i/>
      <sz val="9"/>
      <name val="Century Gothic"/>
      <family val="2"/>
    </font>
    <font>
      <b/>
      <sz val="9"/>
      <name val="Century Gothic"/>
      <family val="2"/>
    </font>
    <font>
      <b/>
      <sz val="10"/>
      <name val="Century Gothic"/>
      <family val="2"/>
    </font>
    <font>
      <b/>
      <u val="double"/>
      <sz val="18"/>
      <name val="Century Gothic"/>
      <family val="2"/>
    </font>
    <font>
      <sz val="10"/>
      <name val="Arial"/>
      <family val="2"/>
    </font>
    <font>
      <b/>
      <sz val="20"/>
      <name val="Times New Roman"/>
      <family val="1"/>
    </font>
    <font>
      <b/>
      <sz val="18"/>
      <name val="Times New Roman"/>
      <family val="1"/>
    </font>
    <font>
      <b/>
      <sz val="16"/>
      <name val="Times New Roman"/>
      <family val="1"/>
    </font>
    <font>
      <sz val="10"/>
      <name val="Times New Roman"/>
      <family val="1"/>
    </font>
    <font>
      <sz val="12"/>
      <name val="Times New Roman"/>
      <family val="1"/>
    </font>
    <font>
      <u/>
      <sz val="12"/>
      <name val="Times New Roman"/>
      <family val="1"/>
    </font>
    <font>
      <vertAlign val="superscript"/>
      <sz val="12"/>
      <name val="Times New Roman"/>
      <family val="1"/>
    </font>
    <font>
      <b/>
      <u/>
      <sz val="12"/>
      <name val="Times New Roman"/>
      <family val="1"/>
    </font>
    <font>
      <b/>
      <sz val="12"/>
      <name val="Times New Roman"/>
      <family val="1"/>
    </font>
    <font>
      <sz val="14"/>
      <name val="Times New Roman"/>
      <family val="1"/>
    </font>
    <font>
      <sz val="9"/>
      <name val="Times New Roman"/>
      <family val="1"/>
    </font>
    <font>
      <sz val="8"/>
      <name val="Times New Roman"/>
      <family val="1"/>
    </font>
    <font>
      <sz val="14"/>
      <name val="Century Gothic"/>
      <family val="2"/>
    </font>
    <font>
      <sz val="12"/>
      <name val="Arial"/>
      <family val="2"/>
    </font>
    <font>
      <sz val="10"/>
      <name val="Arial"/>
      <family val="2"/>
    </font>
    <font>
      <sz val="9"/>
      <name val="Arial"/>
      <family val="2"/>
    </font>
    <font>
      <sz val="9"/>
      <color indexed="20"/>
      <name val="Arial"/>
      <family val="2"/>
    </font>
    <font>
      <sz val="9"/>
      <color indexed="20"/>
      <name val="Arial"/>
      <family val="2"/>
    </font>
    <font>
      <u/>
      <sz val="9"/>
      <color indexed="20"/>
      <name val="Arial"/>
      <family val="2"/>
    </font>
    <font>
      <sz val="9"/>
      <name val="Arial"/>
      <family val="2"/>
    </font>
    <font>
      <b/>
      <sz val="9"/>
      <name val="Arial"/>
      <family val="2"/>
    </font>
    <font>
      <b/>
      <sz val="9"/>
      <color indexed="10"/>
      <name val="Arial"/>
      <family val="2"/>
    </font>
    <font>
      <sz val="12"/>
      <name val="Arial"/>
      <family val="2"/>
    </font>
    <font>
      <sz val="10"/>
      <name val="Geneva"/>
      <family val="2"/>
    </font>
    <font>
      <sz val="6"/>
      <name val="Times New Roman"/>
      <family val="1"/>
    </font>
    <font>
      <b/>
      <sz val="10"/>
      <name val="Helv"/>
    </font>
    <font>
      <sz val="12"/>
      <name val="Arial"/>
      <family val="2"/>
    </font>
    <font>
      <sz val="18"/>
      <color indexed="9"/>
      <name val="Arial"/>
      <family val="2"/>
    </font>
    <font>
      <b/>
      <sz val="12"/>
      <color indexed="56"/>
      <name val="Arial"/>
      <family val="2"/>
    </font>
    <font>
      <sz val="10"/>
      <name val="Helv"/>
    </font>
    <font>
      <sz val="8"/>
      <name val="Century Gothic"/>
      <family val="2"/>
    </font>
    <font>
      <b/>
      <i/>
      <sz val="8"/>
      <name val="Century Gothic"/>
      <family val="2"/>
    </font>
    <font>
      <b/>
      <sz val="18"/>
      <color indexed="54"/>
      <name val="Century Gothic"/>
      <family val="2"/>
    </font>
    <font>
      <sz val="10"/>
      <name val="Arial"/>
      <family val="2"/>
    </font>
    <font>
      <sz val="12"/>
      <name val="Arial"/>
      <family val="2"/>
    </font>
    <font>
      <b/>
      <sz val="7"/>
      <name val="Helv"/>
    </font>
    <font>
      <b/>
      <sz val="5"/>
      <name val="Helv"/>
    </font>
    <font>
      <sz val="7"/>
      <name val="Helv"/>
    </font>
    <font>
      <vertAlign val="superscript"/>
      <sz val="10"/>
      <name val="Helv"/>
    </font>
    <font>
      <sz val="10"/>
      <name val="Univers (WN)"/>
    </font>
    <font>
      <sz val="10"/>
      <color indexed="10"/>
      <name val="Helv"/>
    </font>
    <font>
      <b/>
      <sz val="10"/>
      <name val="Univers (WN)"/>
    </font>
    <font>
      <b/>
      <u/>
      <sz val="10"/>
      <name val="Helv"/>
    </font>
    <font>
      <sz val="6"/>
      <name val="Univers (WN)"/>
    </font>
    <font>
      <sz val="6"/>
      <name val="Helv"/>
    </font>
    <font>
      <sz val="8"/>
      <name val="Helv"/>
    </font>
    <font>
      <sz val="8"/>
      <name val="Univers (WN)"/>
    </font>
    <font>
      <sz val="12"/>
      <color indexed="81"/>
      <name val="Tahoma"/>
      <family val="2"/>
    </font>
    <font>
      <sz val="11"/>
      <color indexed="81"/>
      <name val="Tahoma"/>
      <family val="2"/>
    </font>
    <font>
      <sz val="9"/>
      <color indexed="81"/>
      <name val="Tahoma"/>
      <family val="2"/>
    </font>
    <font>
      <u/>
      <sz val="10"/>
      <color indexed="12"/>
      <name val="Arial"/>
      <family val="2"/>
    </font>
    <font>
      <sz val="12"/>
      <name val="Arial"/>
      <family val="2"/>
    </font>
    <font>
      <b/>
      <sz val="12"/>
      <name val="Helv"/>
    </font>
    <font>
      <sz val="12"/>
      <name val="Helv"/>
    </font>
    <font>
      <b/>
      <u/>
      <sz val="10"/>
      <color indexed="10"/>
      <name val="Calibri"/>
      <family val="2"/>
    </font>
    <font>
      <b/>
      <sz val="10"/>
      <color indexed="10"/>
      <name val="Calibri"/>
      <family val="2"/>
    </font>
    <font>
      <b/>
      <i/>
      <sz val="10"/>
      <name val="Calibri"/>
      <family val="2"/>
    </font>
    <font>
      <sz val="10"/>
      <name val="Arial"/>
      <family val="2"/>
    </font>
    <font>
      <i/>
      <sz val="10"/>
      <name val="Calibri"/>
      <family val="2"/>
    </font>
    <font>
      <u/>
      <sz val="8"/>
      <color indexed="12"/>
      <name val="Arial Narrow"/>
      <family val="2"/>
    </font>
    <font>
      <sz val="9"/>
      <name val="Arial Narrow"/>
      <family val="2"/>
    </font>
    <font>
      <b/>
      <sz val="9"/>
      <name val="Arial Narrow"/>
      <family val="2"/>
    </font>
    <font>
      <b/>
      <u/>
      <sz val="10"/>
      <color indexed="12"/>
      <name val="Geneva"/>
    </font>
    <font>
      <sz val="10"/>
      <name val="Tahoma"/>
      <family val="2"/>
    </font>
    <font>
      <b/>
      <sz val="12"/>
      <color rgb="FFC00000"/>
      <name val="Arial"/>
      <family val="2"/>
    </font>
    <font>
      <i/>
      <sz val="14"/>
      <color rgb="FFFF0000"/>
      <name val="Calibri"/>
      <family val="2"/>
    </font>
    <font>
      <sz val="10"/>
      <color theme="0"/>
      <name val="Geneva"/>
    </font>
    <font>
      <sz val="12"/>
      <name val="Calibri"/>
      <family val="2"/>
      <scheme val="minor"/>
    </font>
    <font>
      <u/>
      <sz val="12"/>
      <name val="Calibri"/>
      <family val="2"/>
      <scheme val="minor"/>
    </font>
    <font>
      <u val="singleAccounting"/>
      <sz val="12"/>
      <name val="Calibri"/>
      <family val="2"/>
      <scheme val="minor"/>
    </font>
    <font>
      <b/>
      <sz val="12"/>
      <name val="Calibri"/>
      <family val="2"/>
      <scheme val="minor"/>
    </font>
    <font>
      <sz val="11"/>
      <name val="Calibri"/>
      <family val="2"/>
      <scheme val="minor"/>
    </font>
    <font>
      <b/>
      <sz val="14"/>
      <name val="Calibri"/>
      <family val="2"/>
      <scheme val="minor"/>
    </font>
    <font>
      <b/>
      <sz val="12"/>
      <color rgb="FFFF0000"/>
      <name val="Helv"/>
    </font>
    <font>
      <sz val="12"/>
      <color rgb="FFFF0000"/>
      <name val="Arial"/>
      <family val="2"/>
    </font>
    <font>
      <sz val="12"/>
      <color rgb="FFFF0000"/>
      <name val="Helv"/>
    </font>
    <font>
      <sz val="10"/>
      <color rgb="FFFF0000"/>
      <name val="Arial"/>
      <family val="2"/>
    </font>
    <font>
      <b/>
      <sz val="14"/>
      <color theme="3"/>
      <name val="Calibri"/>
      <family val="2"/>
      <scheme val="minor"/>
    </font>
    <font>
      <b/>
      <sz val="10"/>
      <name val="Calibri"/>
      <family val="2"/>
      <scheme val="minor"/>
    </font>
    <font>
      <sz val="10"/>
      <name val="Calibri"/>
      <family val="2"/>
      <scheme val="minor"/>
    </font>
    <font>
      <b/>
      <sz val="10"/>
      <color theme="5"/>
      <name val="Calibri"/>
      <family val="2"/>
      <scheme val="minor"/>
    </font>
    <font>
      <b/>
      <sz val="10"/>
      <color rgb="FFC00000"/>
      <name val="Calibri"/>
      <family val="2"/>
      <scheme val="minor"/>
    </font>
    <font>
      <sz val="10"/>
      <color theme="5"/>
      <name val="Calibri"/>
      <family val="2"/>
      <scheme val="minor"/>
    </font>
    <font>
      <sz val="10"/>
      <color indexed="55"/>
      <name val="Calibri"/>
      <family val="2"/>
      <scheme val="minor"/>
    </font>
    <font>
      <u/>
      <sz val="10"/>
      <color indexed="12"/>
      <name val="Calibri"/>
      <family val="2"/>
      <scheme val="minor"/>
    </font>
    <font>
      <i/>
      <sz val="10"/>
      <name val="Calibri"/>
      <family val="2"/>
      <scheme val="minor"/>
    </font>
    <font>
      <b/>
      <i/>
      <sz val="10"/>
      <color theme="5"/>
      <name val="Calibri"/>
      <family val="2"/>
      <scheme val="minor"/>
    </font>
    <font>
      <b/>
      <i/>
      <sz val="10"/>
      <name val="Calibri"/>
      <family val="2"/>
      <scheme val="minor"/>
    </font>
    <font>
      <sz val="10"/>
      <color indexed="23"/>
      <name val="Calibri"/>
      <family val="2"/>
      <scheme val="minor"/>
    </font>
    <font>
      <sz val="10"/>
      <color rgb="FFC00000"/>
      <name val="Calibri"/>
      <family val="2"/>
      <scheme val="minor"/>
    </font>
    <font>
      <u val="singleAccounting"/>
      <sz val="11"/>
      <name val="Calibri"/>
      <family val="2"/>
      <scheme val="minor"/>
    </font>
    <font>
      <u/>
      <sz val="11"/>
      <name val="Calibri"/>
      <family val="2"/>
      <scheme val="minor"/>
    </font>
    <font>
      <b/>
      <sz val="10"/>
      <color rgb="FFC00000"/>
      <name val="Tahoma"/>
      <family val="2"/>
    </font>
    <font>
      <b/>
      <i/>
      <sz val="10"/>
      <color rgb="FFC00000"/>
      <name val="Calibri"/>
      <family val="2"/>
      <scheme val="minor"/>
    </font>
    <font>
      <sz val="10"/>
      <color rgb="FFFF0000"/>
      <name val="Tahoma"/>
      <family val="2"/>
    </font>
    <font>
      <sz val="10"/>
      <color rgb="FF000000"/>
      <name val="Times New Roman"/>
      <family val="1"/>
    </font>
    <font>
      <b/>
      <sz val="11"/>
      <name val="Calibri"/>
      <family val="2"/>
      <scheme val="minor"/>
    </font>
    <font>
      <sz val="16"/>
      <color rgb="FFC00000"/>
      <name val="Calibri"/>
      <family val="2"/>
      <scheme val="minor"/>
    </font>
    <font>
      <sz val="16"/>
      <color rgb="FFC00000"/>
      <name val="Tahoma"/>
      <family val="2"/>
    </font>
    <font>
      <sz val="12"/>
      <color theme="4"/>
      <name val="Tahoma"/>
      <family val="2"/>
    </font>
    <font>
      <u/>
      <sz val="12"/>
      <color theme="4"/>
      <name val="Tahoma"/>
      <family val="2"/>
    </font>
    <font>
      <b/>
      <u/>
      <sz val="12"/>
      <name val="Calibri"/>
      <family val="2"/>
      <scheme val="minor"/>
    </font>
    <font>
      <b/>
      <sz val="18"/>
      <color rgb="FFC00000"/>
      <name val="Tahoma"/>
      <family val="2"/>
    </font>
    <font>
      <b/>
      <u/>
      <sz val="11"/>
      <name val="Calibri"/>
      <family val="2"/>
      <scheme val="minor"/>
    </font>
    <font>
      <b/>
      <sz val="18"/>
      <color rgb="FFFF0000"/>
      <name val="Times New Roman"/>
      <family val="1"/>
    </font>
    <font>
      <i/>
      <sz val="12"/>
      <color theme="4"/>
      <name val="Tahoma"/>
      <family val="2"/>
    </font>
    <font>
      <sz val="11"/>
      <color theme="0"/>
      <name val="Calibri"/>
      <family val="2"/>
      <scheme val="minor"/>
    </font>
    <font>
      <u/>
      <sz val="11"/>
      <color theme="10"/>
      <name val="Calibri"/>
      <family val="2"/>
      <scheme val="minor"/>
    </font>
    <font>
      <sz val="12"/>
      <color rgb="FFFF0000"/>
      <name val="Tahoma"/>
      <family val="2"/>
    </font>
    <font>
      <b/>
      <sz val="10"/>
      <color rgb="FFFF0000"/>
      <name val="Century Gothic"/>
      <family val="2"/>
    </font>
    <font>
      <b/>
      <sz val="12"/>
      <name val="Arial"/>
      <family val="2"/>
    </font>
    <font>
      <b/>
      <sz val="10"/>
      <color rgb="FFFF0000"/>
      <name val="Helv"/>
    </font>
    <font>
      <u/>
      <sz val="12"/>
      <color rgb="FFFF0000"/>
      <name val="Arial"/>
      <family val="2"/>
    </font>
    <font>
      <sz val="10"/>
      <name val="Cambria"/>
      <family val="1"/>
    </font>
    <font>
      <sz val="6"/>
      <color rgb="FFFF0000"/>
      <name val="Helv"/>
    </font>
    <font>
      <b/>
      <sz val="11"/>
      <name val="Arial"/>
      <family val="2"/>
    </font>
    <font>
      <b/>
      <i/>
      <sz val="12"/>
      <name val="Times New Roman"/>
      <family val="1"/>
    </font>
    <font>
      <i/>
      <sz val="12"/>
      <name val="Times New Roman"/>
      <family val="1"/>
    </font>
    <font>
      <b/>
      <sz val="9"/>
      <color rgb="FFFF0000"/>
      <name val="Times New Roman"/>
      <family val="1"/>
    </font>
    <font>
      <b/>
      <sz val="10"/>
      <name val="Arial"/>
      <family val="2"/>
    </font>
    <font>
      <b/>
      <sz val="14"/>
      <name val="Times New Roman"/>
      <family val="1"/>
    </font>
    <font>
      <b/>
      <sz val="10"/>
      <color rgb="FFFF0000"/>
      <name val="Calibri"/>
      <family val="2"/>
      <scheme val="minor"/>
    </font>
    <font>
      <sz val="10"/>
      <color theme="5" tint="-0.249977111117893"/>
      <name val="Helv"/>
    </font>
    <font>
      <b/>
      <i/>
      <sz val="12"/>
      <name val="Calibri"/>
      <family val="2"/>
      <scheme val="minor"/>
    </font>
    <font>
      <b/>
      <sz val="16"/>
      <name val="Calibri"/>
      <family val="2"/>
      <scheme val="minor"/>
    </font>
    <font>
      <u/>
      <sz val="11"/>
      <color theme="4" tint="-0.249977111117893"/>
      <name val="Arial"/>
      <family val="2"/>
    </font>
    <font>
      <sz val="10"/>
      <color theme="4" tint="-0.249977111117893"/>
      <name val="Helv"/>
    </font>
    <font>
      <b/>
      <sz val="10"/>
      <color theme="4" tint="-0.249977111117893"/>
      <name val="Helv"/>
    </font>
    <font>
      <u/>
      <sz val="11"/>
      <color theme="5" tint="-0.249977111117893"/>
      <name val="Arial"/>
      <family val="2"/>
    </font>
    <font>
      <b/>
      <sz val="10"/>
      <color theme="5" tint="-0.249977111117893"/>
      <name val="Helv"/>
    </font>
    <font>
      <b/>
      <sz val="10"/>
      <color theme="0"/>
      <name val="Helv"/>
    </font>
    <font>
      <b/>
      <sz val="5"/>
      <color theme="0"/>
      <name val="Helv"/>
    </font>
    <font>
      <sz val="12"/>
      <color theme="0"/>
      <name val="Arial"/>
      <family val="2"/>
    </font>
    <font>
      <b/>
      <sz val="11"/>
      <color theme="1"/>
      <name val="Calibri"/>
      <family val="2"/>
      <scheme val="minor"/>
    </font>
    <font>
      <b/>
      <sz val="16"/>
      <color theme="1"/>
      <name val="Calibri"/>
      <family val="2"/>
      <scheme val="minor"/>
    </font>
    <font>
      <b/>
      <i/>
      <sz val="11"/>
      <color theme="1"/>
      <name val="Calibri"/>
      <family val="2"/>
      <scheme val="minor"/>
    </font>
    <font>
      <sz val="14"/>
      <name val="Calibri"/>
      <family val="2"/>
      <scheme val="minor"/>
    </font>
    <font>
      <sz val="12"/>
      <color theme="1"/>
      <name val="Calibri"/>
      <family val="2"/>
      <scheme val="minor"/>
    </font>
    <font>
      <u/>
      <sz val="10"/>
      <color rgb="FFFF0000"/>
      <name val="Times New Roman"/>
      <family val="1"/>
    </font>
    <font>
      <sz val="10"/>
      <color rgb="FFFF0000"/>
      <name val="Times New Roman"/>
      <family val="1"/>
    </font>
    <font>
      <u/>
      <sz val="11"/>
      <color rgb="FFFF0000"/>
      <name val="Times New Roman"/>
      <family val="1"/>
    </font>
    <font>
      <sz val="10"/>
      <color rgb="FF963634"/>
      <name val="Helv"/>
    </font>
    <font>
      <b/>
      <sz val="11"/>
      <color rgb="FFFF0000"/>
      <name val="Calibri"/>
      <family val="2"/>
      <scheme val="minor"/>
    </font>
    <font>
      <strike/>
      <sz val="12"/>
      <color theme="1"/>
      <name val="Calibri"/>
      <family val="2"/>
      <scheme val="minor"/>
    </font>
  </fonts>
  <fills count="38">
    <fill>
      <patternFill patternType="none"/>
    </fill>
    <fill>
      <patternFill patternType="gray125"/>
    </fill>
    <fill>
      <patternFill patternType="solid">
        <fgColor indexed="47"/>
        <bgColor indexed="64"/>
      </patternFill>
    </fill>
    <fill>
      <patternFill patternType="solid">
        <fgColor indexed="50"/>
        <bgColor indexed="64"/>
      </patternFill>
    </fill>
    <fill>
      <patternFill patternType="solid">
        <fgColor indexed="9"/>
        <bgColor indexed="64"/>
      </patternFill>
    </fill>
    <fill>
      <patternFill patternType="solid">
        <fgColor indexed="42"/>
        <bgColor indexed="64"/>
      </patternFill>
    </fill>
    <fill>
      <patternFill patternType="gray0625"/>
    </fill>
    <fill>
      <patternFill patternType="solid">
        <fgColor indexed="5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CC99"/>
        <bgColor indexed="64"/>
      </patternFill>
    </fill>
    <fill>
      <patternFill patternType="solid">
        <fgColor theme="9" tint="0.79998168889431442"/>
        <bgColor indexed="64"/>
      </patternFill>
    </fill>
    <fill>
      <patternFill patternType="gray0625">
        <bgColor theme="0" tint="-0.14999847407452621"/>
      </patternFill>
    </fill>
    <fill>
      <patternFill patternType="solid">
        <fgColor theme="2"/>
        <bgColor indexed="64"/>
      </patternFill>
    </fill>
    <fill>
      <patternFill patternType="solid">
        <fgColor theme="7" tint="0.79998168889431442"/>
        <bgColor indexed="64"/>
      </patternFill>
    </fill>
    <fill>
      <patternFill patternType="solid">
        <fgColor rgb="FFE7FFE7"/>
        <bgColor indexed="64"/>
      </patternFill>
    </fill>
    <fill>
      <patternFill patternType="solid">
        <fgColor rgb="FFDDF2FF"/>
        <bgColor indexed="64"/>
      </patternFill>
    </fill>
    <fill>
      <patternFill patternType="solid">
        <fgColor rgb="FFF9EEED"/>
        <bgColor indexed="64"/>
      </patternFill>
    </fill>
    <fill>
      <patternFill patternType="solid">
        <fgColor rgb="FFEBEBFF"/>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CCCCFF"/>
        <bgColor indexed="64"/>
      </patternFill>
    </fill>
    <fill>
      <patternFill patternType="solid">
        <fgColor rgb="FFCCFFCC"/>
        <bgColor indexed="64"/>
      </patternFill>
    </fill>
    <fill>
      <patternFill patternType="solid">
        <fgColor theme="0"/>
        <bgColor indexed="64"/>
      </patternFill>
    </fill>
    <fill>
      <patternFill patternType="solid">
        <fgColor theme="8"/>
        <bgColor indexed="64"/>
      </patternFill>
    </fill>
    <fill>
      <patternFill patternType="solid">
        <fgColor rgb="FFFFC000"/>
        <bgColor indexed="64"/>
      </patternFill>
    </fill>
    <fill>
      <patternFill patternType="solid">
        <fgColor rgb="FFFF0000"/>
        <bgColor indexed="64"/>
      </patternFill>
    </fill>
    <fill>
      <patternFill patternType="solid">
        <fgColor theme="0" tint="-0.14996795556505021"/>
        <bgColor indexed="64"/>
      </patternFill>
    </fill>
    <fill>
      <patternFill patternType="solid">
        <fgColor rgb="FFF2F2F2"/>
        <bgColor rgb="FF000000"/>
      </patternFill>
    </fill>
    <fill>
      <patternFill patternType="solid">
        <fgColor theme="1"/>
        <bgColor indexed="64"/>
      </patternFill>
    </fill>
    <fill>
      <patternFill patternType="solid">
        <fgColor theme="9" tint="0.59999389629810485"/>
        <bgColor indexed="64"/>
      </patternFill>
    </fill>
  </fills>
  <borders count="95">
    <border>
      <left/>
      <right/>
      <top/>
      <bottom/>
      <diagonal/>
    </border>
    <border>
      <left/>
      <right/>
      <top style="medium">
        <color indexed="64"/>
      </top>
      <bottom style="thick">
        <color indexed="64"/>
      </bottom>
      <diagonal/>
    </border>
    <border>
      <left/>
      <right/>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ck">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8"/>
      </right>
      <top/>
      <bottom/>
      <diagonal/>
    </border>
    <border>
      <left style="thin">
        <color indexed="8"/>
      </left>
      <right/>
      <top/>
      <bottom/>
      <diagonal/>
    </border>
    <border>
      <left/>
      <right style="thin">
        <color indexed="64"/>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8"/>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right style="thin">
        <color theme="0"/>
      </right>
      <top style="thin">
        <color indexed="64"/>
      </top>
      <bottom/>
      <diagonal/>
    </border>
    <border>
      <left style="thin">
        <color theme="0"/>
      </left>
      <right style="thin">
        <color indexed="64"/>
      </right>
      <top style="thin">
        <color indexed="64"/>
      </top>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s>
  <cellStyleXfs count="235">
    <xf numFmtId="0" fontId="0" fillId="0" borderId="0"/>
    <xf numFmtId="43" fontId="2" fillId="0" borderId="0" applyFont="0" applyFill="0" applyBorder="0" applyAlignment="0" applyProtection="0"/>
    <xf numFmtId="43" fontId="51" fillId="0" borderId="0" applyFont="0" applyFill="0" applyBorder="0" applyAlignment="0" applyProtection="0"/>
    <xf numFmtId="43" fontId="17" fillId="0" borderId="0" applyFont="0" applyFill="0" applyBorder="0" applyAlignment="0" applyProtection="0"/>
    <xf numFmtId="43" fontId="75" fillId="0" borderId="0" applyFont="0" applyFill="0" applyBorder="0" applyAlignment="0" applyProtection="0"/>
    <xf numFmtId="44" fontId="2" fillId="0" borderId="0" applyFont="0" applyFill="0" applyBorder="0" applyAlignment="0" applyProtection="0"/>
    <xf numFmtId="44" fontId="51" fillId="0" borderId="0" applyFont="0" applyFill="0" applyBorder="0" applyAlignment="0" applyProtection="0"/>
    <xf numFmtId="44" fontId="17" fillId="0" borderId="0" applyFont="0" applyFill="0" applyBorder="0" applyAlignment="0" applyProtection="0"/>
    <xf numFmtId="44" fontId="75" fillId="0" borderId="0" applyFont="0" applyFill="0" applyBorder="0" applyAlignment="0" applyProtection="0"/>
    <xf numFmtId="0" fontId="3"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41" fillId="0" borderId="0"/>
    <xf numFmtId="0" fontId="2"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40" fillId="0" borderId="0"/>
    <xf numFmtId="0" fontId="31" fillId="0" borderId="0"/>
    <xf numFmtId="0" fontId="40" fillId="0" borderId="0"/>
    <xf numFmtId="0" fontId="31"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1" fillId="0" borderId="0"/>
    <xf numFmtId="0" fontId="2" fillId="0" borderId="0"/>
    <xf numFmtId="0" fontId="2" fillId="0" borderId="0"/>
    <xf numFmtId="0" fontId="44" fillId="0" borderId="0"/>
    <xf numFmtId="0" fontId="31" fillId="0" borderId="0"/>
    <xf numFmtId="171" fontId="47" fillId="0" borderId="0"/>
    <xf numFmtId="0" fontId="52" fillId="0" borderId="0"/>
    <xf numFmtId="0" fontId="31" fillId="0" borderId="0"/>
    <xf numFmtId="0" fontId="69" fillId="0" borderId="0"/>
    <xf numFmtId="0" fontId="31"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0" fillId="0" borderId="0"/>
    <xf numFmtId="0" fontId="31" fillId="0" borderId="0"/>
    <xf numFmtId="0" fontId="41" fillId="0" borderId="0"/>
    <xf numFmtId="0" fontId="2" fillId="0" borderId="0"/>
    <xf numFmtId="0" fontId="41" fillId="0" borderId="0"/>
    <xf numFmtId="0" fontId="2" fillId="0" borderId="0"/>
    <xf numFmtId="0" fontId="2" fillId="0" borderId="0"/>
    <xf numFmtId="0" fontId="41" fillId="0" borderId="0"/>
    <xf numFmtId="0" fontId="2" fillId="0" borderId="0"/>
    <xf numFmtId="0" fontId="41" fillId="0" borderId="0"/>
    <xf numFmtId="0" fontId="2" fillId="0" borderId="0"/>
    <xf numFmtId="0" fontId="17" fillId="0" borderId="0"/>
    <xf numFmtId="0" fontId="1" fillId="0" borderId="0"/>
    <xf numFmtId="0" fontId="113" fillId="0" borderId="0"/>
    <xf numFmtId="0" fontId="113" fillId="0" borderId="0"/>
    <xf numFmtId="0" fontId="125" fillId="0" borderId="0" applyNumberFormat="0" applyFill="0" applyBorder="0" applyAlignment="0" applyProtection="0"/>
  </cellStyleXfs>
  <cellXfs count="1545">
    <xf numFmtId="0" fontId="0" fillId="0" borderId="0" xfId="0"/>
    <xf numFmtId="0" fontId="4" fillId="0" borderId="0" xfId="0" applyFont="1"/>
    <xf numFmtId="0" fontId="7" fillId="0" borderId="1" xfId="0" applyFont="1" applyBorder="1"/>
    <xf numFmtId="0" fontId="8" fillId="0" borderId="1" xfId="0" applyFont="1" applyBorder="1" applyAlignment="1">
      <alignment horizontal="right"/>
    </xf>
    <xf numFmtId="0" fontId="6" fillId="0" borderId="0" xfId="0" applyFont="1"/>
    <xf numFmtId="1" fontId="6" fillId="0" borderId="0" xfId="0" applyNumberFormat="1" applyFont="1"/>
    <xf numFmtId="0" fontId="9" fillId="0" borderId="2" xfId="0" applyFont="1" applyFill="1" applyBorder="1"/>
    <xf numFmtId="0" fontId="9" fillId="0" borderId="2" xfId="0" applyFont="1" applyBorder="1"/>
    <xf numFmtId="0" fontId="10" fillId="0" borderId="2" xfId="0" applyFont="1" applyBorder="1"/>
    <xf numFmtId="0" fontId="6" fillId="0" borderId="2" xfId="0" applyFont="1" applyBorder="1"/>
    <xf numFmtId="0" fontId="6" fillId="0" borderId="0" xfId="0" applyFont="1" applyFill="1"/>
    <xf numFmtId="0" fontId="5" fillId="0" borderId="0" xfId="0" applyFont="1" applyFill="1"/>
    <xf numFmtId="0" fontId="5" fillId="0" borderId="0" xfId="0" applyFont="1"/>
    <xf numFmtId="0" fontId="13" fillId="0" borderId="0" xfId="0" applyFont="1"/>
    <xf numFmtId="0" fontId="12" fillId="0" borderId="0" xfId="0" applyFont="1" applyBorder="1"/>
    <xf numFmtId="0" fontId="12" fillId="0" borderId="3" xfId="0" applyFont="1" applyBorder="1"/>
    <xf numFmtId="0" fontId="6" fillId="0" borderId="0" xfId="0" applyFont="1" applyFill="1" applyBorder="1"/>
    <xf numFmtId="0" fontId="6" fillId="0" borderId="3" xfId="0" applyFont="1" applyBorder="1"/>
    <xf numFmtId="14" fontId="14" fillId="0" borderId="3" xfId="0" applyNumberFormat="1" applyFont="1" applyBorder="1"/>
    <xf numFmtId="14" fontId="15" fillId="0" borderId="3" xfId="0" applyNumberFormat="1" applyFont="1" applyBorder="1"/>
    <xf numFmtId="14" fontId="15" fillId="0" borderId="0" xfId="0" applyNumberFormat="1" applyFont="1" applyBorder="1"/>
    <xf numFmtId="0" fontId="6" fillId="0" borderId="0" xfId="0" applyFont="1" applyFill="1" applyAlignment="1">
      <alignment horizontal="left"/>
    </xf>
    <xf numFmtId="9" fontId="9" fillId="0" borderId="0" xfId="0" applyNumberFormat="1" applyFont="1"/>
    <xf numFmtId="1" fontId="6" fillId="0" borderId="4" xfId="0" applyNumberFormat="1" applyFont="1" applyBorder="1"/>
    <xf numFmtId="0" fontId="6" fillId="0" borderId="0" xfId="0" applyFont="1" applyBorder="1"/>
    <xf numFmtId="0" fontId="6" fillId="0" borderId="5" xfId="0" applyFont="1" applyBorder="1"/>
    <xf numFmtId="0" fontId="6" fillId="0" borderId="4" xfId="0" applyFont="1" applyFill="1" applyBorder="1"/>
    <xf numFmtId="1" fontId="6" fillId="0" borderId="6" xfId="0" applyNumberFormat="1" applyFont="1" applyBorder="1"/>
    <xf numFmtId="0" fontId="6" fillId="0" borderId="7" xfId="0" applyFont="1" applyBorder="1"/>
    <xf numFmtId="0" fontId="6" fillId="0" borderId="6" xfId="0" applyFont="1" applyFill="1" applyBorder="1"/>
    <xf numFmtId="0" fontId="6" fillId="0" borderId="3" xfId="0" applyFont="1" applyFill="1" applyBorder="1"/>
    <xf numFmtId="49" fontId="6" fillId="0" borderId="0" xfId="0" applyNumberFormat="1" applyFont="1" applyAlignment="1">
      <alignment horizontal="right"/>
    </xf>
    <xf numFmtId="0" fontId="6" fillId="0" borderId="0" xfId="0" applyFont="1" applyFill="1" applyAlignment="1">
      <alignment horizontal="centerContinuous"/>
    </xf>
    <xf numFmtId="0" fontId="6" fillId="0" borderId="0" xfId="0" applyFont="1" applyAlignment="1">
      <alignment horizontal="centerContinuous"/>
    </xf>
    <xf numFmtId="0" fontId="6" fillId="0" borderId="0" xfId="0" applyFont="1" applyAlignment="1">
      <alignment horizontal="center"/>
    </xf>
    <xf numFmtId="0" fontId="16" fillId="0" borderId="1" xfId="0" applyFont="1" applyFill="1" applyBorder="1"/>
    <xf numFmtId="0" fontId="7" fillId="0" borderId="1" xfId="0" applyFont="1" applyFill="1" applyBorder="1"/>
    <xf numFmtId="15" fontId="11" fillId="0" borderId="2" xfId="0" applyNumberFormat="1" applyFont="1" applyBorder="1"/>
    <xf numFmtId="0" fontId="17" fillId="0" borderId="0" xfId="230"/>
    <xf numFmtId="0" fontId="30" fillId="0" borderId="2" xfId="0" applyFont="1" applyBorder="1"/>
    <xf numFmtId="0" fontId="21" fillId="0" borderId="0" xfId="132" applyFont="1"/>
    <xf numFmtId="0" fontId="21" fillId="0" borderId="0" xfId="132" applyFont="1" applyBorder="1" applyAlignment="1" applyProtection="1">
      <alignment horizontal="left"/>
    </xf>
    <xf numFmtId="0" fontId="21" fillId="0" borderId="0" xfId="132" applyFont="1" applyBorder="1"/>
    <xf numFmtId="0" fontId="21" fillId="0" borderId="0" xfId="132" applyFont="1" applyBorder="1" applyProtection="1"/>
    <xf numFmtId="0" fontId="21" fillId="0" borderId="0" xfId="132" applyFont="1" applyBorder="1" applyAlignment="1" applyProtection="1">
      <alignment horizontal="fill"/>
    </xf>
    <xf numFmtId="0" fontId="18" fillId="0" borderId="0" xfId="0" applyFont="1" applyAlignment="1">
      <alignment horizontal="center"/>
    </xf>
    <xf numFmtId="0" fontId="19" fillId="0" borderId="0" xfId="0" applyFont="1" applyAlignment="1">
      <alignment horizontal="center"/>
    </xf>
    <xf numFmtId="0" fontId="20" fillId="0" borderId="0" xfId="0" applyFont="1" applyAlignment="1" applyProtection="1">
      <alignment horizontal="centerContinuous"/>
    </xf>
    <xf numFmtId="0" fontId="21" fillId="0" borderId="0" xfId="0" applyFont="1" applyAlignment="1">
      <alignment horizontal="centerContinuous"/>
    </xf>
    <xf numFmtId="0" fontId="21" fillId="0" borderId="0" xfId="0" applyFont="1" applyAlignment="1">
      <alignment horizontal="left"/>
    </xf>
    <xf numFmtId="0" fontId="22" fillId="0" borderId="0" xfId="0" applyFont="1" applyBorder="1"/>
    <xf numFmtId="0" fontId="23" fillId="0" borderId="0" xfId="0" applyFont="1" applyBorder="1" applyAlignment="1" applyProtection="1">
      <alignment horizontal="center"/>
    </xf>
    <xf numFmtId="0" fontId="24" fillId="0" borderId="0" xfId="0" applyFont="1" applyBorder="1" applyAlignment="1" applyProtection="1">
      <alignment horizontal="right"/>
    </xf>
    <xf numFmtId="0" fontId="22" fillId="0" borderId="0" xfId="0" quotePrefix="1" applyFont="1" applyBorder="1" applyAlignment="1" applyProtection="1">
      <alignment horizontal="left"/>
    </xf>
    <xf numFmtId="167" fontId="22" fillId="0" borderId="0" xfId="0" applyNumberFormat="1" applyFont="1" applyBorder="1" applyProtection="1"/>
    <xf numFmtId="0" fontId="22" fillId="0" borderId="0" xfId="0" quotePrefix="1" applyFont="1" applyBorder="1" applyAlignment="1" applyProtection="1">
      <alignment horizontal="center"/>
    </xf>
    <xf numFmtId="0" fontId="22" fillId="0" borderId="0" xfId="0" applyFont="1" applyBorder="1" applyAlignment="1" applyProtection="1">
      <alignment horizontal="left"/>
    </xf>
    <xf numFmtId="0" fontId="24" fillId="0" borderId="0" xfId="0" applyFont="1" applyBorder="1"/>
    <xf numFmtId="7" fontId="22" fillId="0" borderId="0" xfId="0" applyNumberFormat="1" applyFont="1" applyBorder="1" applyProtection="1"/>
    <xf numFmtId="0" fontId="25" fillId="0" borderId="0" xfId="0" applyFont="1" applyBorder="1" applyAlignment="1" applyProtection="1">
      <alignment horizontal="left"/>
    </xf>
    <xf numFmtId="0" fontId="21" fillId="0" borderId="0" xfId="0" applyFont="1" applyBorder="1" applyAlignment="1">
      <alignment horizontal="centerContinuous"/>
    </xf>
    <xf numFmtId="0" fontId="22" fillId="0" borderId="0" xfId="0" applyFont="1" applyAlignment="1">
      <alignment horizontal="centerContinuous"/>
    </xf>
    <xf numFmtId="0" fontId="22" fillId="0" borderId="0" xfId="0" applyFont="1" applyBorder="1" applyAlignment="1">
      <alignment horizontal="centerContinuous"/>
    </xf>
    <xf numFmtId="0" fontId="22" fillId="0" borderId="0" xfId="0" applyFont="1"/>
    <xf numFmtId="0" fontId="25" fillId="0" borderId="0" xfId="0" quotePrefix="1" applyFont="1" applyBorder="1" applyAlignment="1" applyProtection="1">
      <alignment horizontal="left"/>
    </xf>
    <xf numFmtId="0" fontId="25" fillId="0" borderId="0" xfId="0" applyFont="1" applyBorder="1" applyAlignment="1" applyProtection="1">
      <alignment horizontal="centerContinuous"/>
    </xf>
    <xf numFmtId="167" fontId="25" fillId="0" borderId="0" xfId="0" applyNumberFormat="1" applyFont="1" applyBorder="1" applyAlignment="1" applyProtection="1">
      <alignment horizontal="right"/>
    </xf>
    <xf numFmtId="0" fontId="26" fillId="0" borderId="0" xfId="0" applyFont="1" applyBorder="1" applyAlignment="1">
      <alignment horizontal="right"/>
    </xf>
    <xf numFmtId="167" fontId="25" fillId="0" borderId="0" xfId="0" applyNumberFormat="1" applyFont="1" applyBorder="1" applyAlignment="1" applyProtection="1">
      <alignment horizontal="center"/>
    </xf>
    <xf numFmtId="0" fontId="26" fillId="0" borderId="0" xfId="0" applyFont="1" applyBorder="1" applyAlignment="1" applyProtection="1">
      <alignment horizontal="left"/>
    </xf>
    <xf numFmtId="165" fontId="22" fillId="0" borderId="0" xfId="0" applyNumberFormat="1" applyFont="1" applyBorder="1" applyAlignment="1">
      <alignment horizontal="right"/>
    </xf>
    <xf numFmtId="165" fontId="22" fillId="0" borderId="0" xfId="0" applyNumberFormat="1" applyFont="1" applyBorder="1" applyProtection="1"/>
    <xf numFmtId="165" fontId="22" fillId="0" borderId="0" xfId="0" applyNumberFormat="1" applyFont="1" applyBorder="1" applyAlignment="1">
      <alignment horizontal="center"/>
    </xf>
    <xf numFmtId="165" fontId="22" fillId="0" borderId="0" xfId="0" applyNumberFormat="1" applyFont="1" applyBorder="1"/>
    <xf numFmtId="0" fontId="26" fillId="0" borderId="0" xfId="0" applyFont="1" applyBorder="1"/>
    <xf numFmtId="165" fontId="22" fillId="0" borderId="8" xfId="0" applyNumberFormat="1" applyFont="1" applyBorder="1" applyAlignment="1">
      <alignment horizontal="center"/>
    </xf>
    <xf numFmtId="0" fontId="22" fillId="0" borderId="9" xfId="0" applyFont="1" applyBorder="1"/>
    <xf numFmtId="165" fontId="22" fillId="0" borderId="10" xfId="0" applyNumberFormat="1" applyFont="1" applyBorder="1" applyAlignment="1">
      <alignment horizontal="center"/>
    </xf>
    <xf numFmtId="165" fontId="22" fillId="0" borderId="7" xfId="0" applyNumberFormat="1" applyFont="1" applyBorder="1" applyAlignment="1">
      <alignment horizontal="center"/>
    </xf>
    <xf numFmtId="10" fontId="26" fillId="0" borderId="0" xfId="0" applyNumberFormat="1" applyFont="1" applyBorder="1" applyAlignment="1" applyProtection="1">
      <alignment horizontal="left"/>
    </xf>
    <xf numFmtId="165" fontId="22" fillId="0" borderId="9" xfId="0" applyNumberFormat="1" applyFont="1" applyBorder="1" applyProtection="1"/>
    <xf numFmtId="165" fontId="21" fillId="0" borderId="8" xfId="0" applyNumberFormat="1" applyFont="1" applyBorder="1" applyAlignment="1">
      <alignment horizontal="left"/>
    </xf>
    <xf numFmtId="0" fontId="22" fillId="0" borderId="9" xfId="0" applyFont="1" applyBorder="1" applyAlignment="1">
      <alignment horizontal="center"/>
    </xf>
    <xf numFmtId="0" fontId="22" fillId="0" borderId="0" xfId="0" applyFont="1" applyBorder="1" applyAlignment="1">
      <alignment horizontal="center"/>
    </xf>
    <xf numFmtId="165" fontId="22" fillId="0" borderId="7" xfId="0" applyNumberFormat="1" applyFont="1" applyBorder="1" applyProtection="1"/>
    <xf numFmtId="165" fontId="22" fillId="0" borderId="10" xfId="0" applyNumberFormat="1" applyFont="1" applyBorder="1" applyAlignment="1">
      <alignment horizontal="left"/>
    </xf>
    <xf numFmtId="10" fontId="22" fillId="0" borderId="0" xfId="0" applyNumberFormat="1" applyFont="1" applyBorder="1"/>
    <xf numFmtId="0" fontId="21" fillId="0" borderId="0" xfId="0" quotePrefix="1" applyFont="1" applyBorder="1" applyAlignment="1" applyProtection="1">
      <alignment horizontal="left"/>
    </xf>
    <xf numFmtId="0" fontId="28" fillId="0" borderId="0" xfId="0" applyFont="1" applyBorder="1" applyAlignment="1" applyProtection="1">
      <alignment horizontal="left"/>
    </xf>
    <xf numFmtId="10" fontId="28" fillId="0" borderId="0" xfId="0" applyNumberFormat="1" applyFont="1" applyBorder="1" applyProtection="1"/>
    <xf numFmtId="0" fontId="28" fillId="0" borderId="0" xfId="0" applyFont="1" applyBorder="1"/>
    <xf numFmtId="0" fontId="21" fillId="0" borderId="0" xfId="0" applyFont="1"/>
    <xf numFmtId="0" fontId="21" fillId="0" borderId="0" xfId="0" quotePrefix="1" applyFont="1" applyAlignment="1">
      <alignment horizontal="left"/>
    </xf>
    <xf numFmtId="0" fontId="28" fillId="0" borderId="0" xfId="0" applyFont="1"/>
    <xf numFmtId="0" fontId="42" fillId="0" borderId="0" xfId="0" applyFont="1" applyBorder="1"/>
    <xf numFmtId="0" fontId="21" fillId="0" borderId="0" xfId="0" applyFont="1" applyBorder="1" applyAlignment="1" applyProtection="1">
      <alignment horizontal="left"/>
    </xf>
    <xf numFmtId="0" fontId="21" fillId="0" borderId="0" xfId="0" applyFont="1" applyBorder="1"/>
    <xf numFmtId="0" fontId="21" fillId="0" borderId="0" xfId="0" quotePrefix="1" applyFont="1" applyBorder="1" applyAlignment="1">
      <alignment horizontal="left"/>
    </xf>
    <xf numFmtId="0" fontId="29" fillId="0" borderId="0" xfId="0" applyFont="1" applyBorder="1"/>
    <xf numFmtId="0" fontId="21" fillId="0" borderId="0" xfId="0" applyFont="1" applyBorder="1" applyAlignment="1">
      <alignment horizontal="right"/>
    </xf>
    <xf numFmtId="0" fontId="21" fillId="0" borderId="0" xfId="0" applyFont="1" applyBorder="1" applyAlignment="1">
      <alignment horizontal="left"/>
    </xf>
    <xf numFmtId="0" fontId="21" fillId="0" borderId="0" xfId="0" applyFont="1" applyBorder="1" applyProtection="1"/>
    <xf numFmtId="0" fontId="21" fillId="0" borderId="0" xfId="0" applyFont="1" applyBorder="1" applyAlignment="1" applyProtection="1">
      <alignment horizontal="fill"/>
    </xf>
    <xf numFmtId="0" fontId="17" fillId="0" borderId="0" xfId="0" applyFont="1"/>
    <xf numFmtId="0" fontId="82" fillId="8" borderId="8" xfId="0" applyFont="1" applyFill="1" applyBorder="1" applyAlignment="1">
      <alignment horizontal="left" vertical="center" indent="1"/>
    </xf>
    <xf numFmtId="0" fontId="82" fillId="8" borderId="8" xfId="0" applyFont="1" applyFill="1" applyBorder="1" applyAlignment="1">
      <alignment horizontal="center" vertical="center"/>
    </xf>
    <xf numFmtId="0" fontId="46" fillId="8" borderId="8" xfId="0" applyFont="1" applyFill="1" applyBorder="1" applyAlignment="1">
      <alignment horizontal="center" vertical="center"/>
    </xf>
    <xf numFmtId="165" fontId="22" fillId="0" borderId="8" xfId="0" applyNumberFormat="1" applyFont="1" applyBorder="1" applyProtection="1"/>
    <xf numFmtId="165" fontId="22" fillId="0" borderId="10" xfId="0" applyNumberFormat="1" applyFont="1" applyBorder="1" applyProtection="1"/>
    <xf numFmtId="0" fontId="83" fillId="0" borderId="0" xfId="0" applyFont="1" applyAlignment="1">
      <alignment horizontal="left" vertical="center"/>
    </xf>
    <xf numFmtId="14" fontId="15" fillId="0" borderId="11" xfId="0" applyNumberFormat="1" applyFont="1" applyBorder="1"/>
    <xf numFmtId="0" fontId="5" fillId="0" borderId="0" xfId="0" applyFont="1" applyFill="1" applyProtection="1"/>
    <xf numFmtId="0" fontId="12" fillId="0" borderId="0" xfId="0" applyFont="1" applyBorder="1" applyAlignment="1">
      <alignment horizontal="left"/>
    </xf>
    <xf numFmtId="0" fontId="12" fillId="0" borderId="3" xfId="0" applyFont="1" applyBorder="1" applyAlignment="1">
      <alignment horizontal="left"/>
    </xf>
    <xf numFmtId="0" fontId="12" fillId="0" borderId="3" xfId="0" applyFont="1" applyBorder="1" applyAlignment="1">
      <alignment horizontal="right"/>
    </xf>
    <xf numFmtId="0" fontId="6" fillId="0" borderId="11" xfId="0" applyFont="1" applyBorder="1"/>
    <xf numFmtId="0" fontId="12" fillId="0" borderId="11" xfId="0" applyFont="1" applyBorder="1"/>
    <xf numFmtId="0" fontId="12" fillId="0" borderId="0" xfId="0" applyFont="1" applyBorder="1" applyAlignment="1">
      <alignment horizontal="right"/>
    </xf>
    <xf numFmtId="0" fontId="48" fillId="0" borderId="11" xfId="0" applyFont="1" applyBorder="1"/>
    <xf numFmtId="0" fontId="49" fillId="0" borderId="11" xfId="0" applyFont="1" applyBorder="1"/>
    <xf numFmtId="0" fontId="12" fillId="0" borderId="0" xfId="0" applyFont="1" applyBorder="1" applyAlignment="1">
      <alignment horizontal="left" indent="1"/>
    </xf>
    <xf numFmtId="0" fontId="84" fillId="0" borderId="0" xfId="0" applyFont="1"/>
    <xf numFmtId="0" fontId="4" fillId="0" borderId="0" xfId="0" applyFont="1" applyAlignment="1">
      <alignment horizontal="left"/>
    </xf>
    <xf numFmtId="0" fontId="6" fillId="0" borderId="12" xfId="0" applyFont="1" applyBorder="1" applyAlignment="1">
      <alignment horizontal="left"/>
    </xf>
    <xf numFmtId="0" fontId="33" fillId="0" borderId="0" xfId="139" applyFont="1" applyProtection="1"/>
    <xf numFmtId="0" fontId="34" fillId="0" borderId="0" xfId="139" applyFont="1" applyAlignment="1" applyProtection="1">
      <alignment horizontal="center"/>
    </xf>
    <xf numFmtId="0" fontId="33" fillId="0" borderId="0" xfId="139" applyFont="1" applyAlignment="1" applyProtection="1">
      <alignment horizontal="center"/>
    </xf>
    <xf numFmtId="0" fontId="34" fillId="3" borderId="0" xfId="139" applyFont="1" applyFill="1" applyBorder="1" applyAlignment="1" applyProtection="1">
      <alignment horizontal="center"/>
    </xf>
    <xf numFmtId="0" fontId="33" fillId="0" borderId="3" xfId="139" applyFont="1" applyBorder="1" applyProtection="1"/>
    <xf numFmtId="0" fontId="38" fillId="4" borderId="13" xfId="139" applyFont="1" applyFill="1" applyBorder="1" applyProtection="1"/>
    <xf numFmtId="2" fontId="38" fillId="4" borderId="13" xfId="139" applyNumberFormat="1" applyFont="1" applyFill="1" applyBorder="1" applyProtection="1"/>
    <xf numFmtId="2" fontId="38" fillId="4" borderId="0" xfId="139" applyNumberFormat="1" applyFont="1" applyFill="1" applyBorder="1" applyProtection="1"/>
    <xf numFmtId="1" fontId="38" fillId="4" borderId="0" xfId="139" applyNumberFormat="1" applyFont="1" applyFill="1" applyBorder="1" applyProtection="1"/>
    <xf numFmtId="2" fontId="38" fillId="0" borderId="0" xfId="139" applyNumberFormat="1" applyFont="1" applyBorder="1" applyProtection="1"/>
    <xf numFmtId="0" fontId="33" fillId="0" borderId="0" xfId="139" applyFont="1" applyBorder="1" applyProtection="1"/>
    <xf numFmtId="2" fontId="38" fillId="4" borderId="13" xfId="139" applyNumberFormat="1" applyFont="1" applyFill="1" applyBorder="1" applyAlignment="1" applyProtection="1">
      <alignment horizontal="right"/>
    </xf>
    <xf numFmtId="2" fontId="38" fillId="4" borderId="13" xfId="139" applyNumberFormat="1" applyFont="1" applyFill="1" applyBorder="1" applyAlignment="1" applyProtection="1">
      <alignment horizontal="center"/>
    </xf>
    <xf numFmtId="0" fontId="37" fillId="4" borderId="2" xfId="139" applyFont="1" applyFill="1" applyBorder="1" applyProtection="1"/>
    <xf numFmtId="2" fontId="37" fillId="4" borderId="2" xfId="139" applyNumberFormat="1" applyFont="1" applyFill="1" applyBorder="1" applyProtection="1"/>
    <xf numFmtId="2" fontId="38" fillId="4" borderId="2" xfId="139" applyNumberFormat="1" applyFont="1" applyFill="1" applyBorder="1" applyProtection="1"/>
    <xf numFmtId="0" fontId="33" fillId="0" borderId="2" xfId="139" applyFont="1" applyBorder="1" applyProtection="1"/>
    <xf numFmtId="2" fontId="33" fillId="0" borderId="0" xfId="139" applyNumberFormat="1" applyFont="1" applyProtection="1"/>
    <xf numFmtId="0" fontId="39" fillId="0" borderId="0" xfId="139" applyFont="1" applyProtection="1"/>
    <xf numFmtId="2" fontId="39" fillId="0" borderId="0" xfId="139" applyNumberFormat="1" applyFont="1" applyProtection="1"/>
    <xf numFmtId="0" fontId="0" fillId="9" borderId="9" xfId="0" applyFill="1" applyBorder="1"/>
    <xf numFmtId="0" fontId="0" fillId="0" borderId="14" xfId="0" applyBorder="1" applyAlignment="1">
      <alignment horizontal="center" wrapText="1"/>
    </xf>
    <xf numFmtId="0" fontId="0" fillId="0" borderId="70" xfId="0" applyFill="1" applyBorder="1" applyAlignment="1">
      <alignment wrapText="1"/>
    </xf>
    <xf numFmtId="0" fontId="0" fillId="0" borderId="70" xfId="0" applyBorder="1" applyAlignment="1">
      <alignment wrapText="1"/>
    </xf>
    <xf numFmtId="0" fontId="0" fillId="0" borderId="70" xfId="0" applyBorder="1"/>
    <xf numFmtId="0" fontId="5" fillId="10" borderId="0" xfId="0" applyFont="1" applyFill="1" applyProtection="1"/>
    <xf numFmtId="0" fontId="0" fillId="0" borderId="0" xfId="0" applyProtection="1"/>
    <xf numFmtId="0" fontId="6" fillId="0" borderId="0" xfId="0" applyFont="1" applyProtection="1"/>
    <xf numFmtId="1" fontId="6" fillId="0" borderId="0" xfId="0" applyNumberFormat="1" applyFont="1" applyProtection="1"/>
    <xf numFmtId="0" fontId="7" fillId="0" borderId="1" xfId="0" applyFont="1" applyFill="1" applyBorder="1" applyProtection="1"/>
    <xf numFmtId="0" fontId="7" fillId="0" borderId="1" xfId="0" applyFont="1" applyBorder="1" applyProtection="1"/>
    <xf numFmtId="0" fontId="8" fillId="0" borderId="1" xfId="0" applyFont="1" applyBorder="1" applyAlignment="1" applyProtection="1">
      <alignment horizontal="right"/>
    </xf>
    <xf numFmtId="0" fontId="9" fillId="0" borderId="2" xfId="0" applyFont="1" applyFill="1" applyBorder="1" applyProtection="1"/>
    <xf numFmtId="0" fontId="9" fillId="0" borderId="2" xfId="0" applyFont="1" applyBorder="1" applyProtection="1"/>
    <xf numFmtId="0" fontId="30" fillId="0" borderId="2" xfId="0" applyFont="1" applyBorder="1" applyProtection="1"/>
    <xf numFmtId="0" fontId="10" fillId="0" borderId="2" xfId="0" applyFont="1" applyBorder="1" applyProtection="1"/>
    <xf numFmtId="0" fontId="6" fillId="0" borderId="2" xfId="0" applyFont="1" applyBorder="1" applyProtection="1"/>
    <xf numFmtId="0" fontId="6" fillId="0" borderId="12" xfId="0" applyFont="1" applyBorder="1" applyAlignment="1" applyProtection="1">
      <alignment horizontal="left"/>
    </xf>
    <xf numFmtId="15" fontId="11" fillId="0" borderId="2" xfId="0" applyNumberFormat="1" applyFont="1" applyBorder="1" applyProtection="1"/>
    <xf numFmtId="0" fontId="6" fillId="0" borderId="0" xfId="0" applyFont="1" applyFill="1" applyProtection="1"/>
    <xf numFmtId="0" fontId="5" fillId="0" borderId="0" xfId="0" applyFont="1" applyProtection="1"/>
    <xf numFmtId="0" fontId="4" fillId="0" borderId="0" xfId="0" applyFont="1" applyProtection="1"/>
    <xf numFmtId="0" fontId="13" fillId="0" borderId="0" xfId="0" applyFont="1" applyProtection="1"/>
    <xf numFmtId="0" fontId="12" fillId="0" borderId="3" xfId="0" applyFont="1" applyBorder="1" applyAlignment="1" applyProtection="1">
      <alignment horizontal="right"/>
    </xf>
    <xf numFmtId="0" fontId="12" fillId="0" borderId="3" xfId="0" applyFont="1" applyBorder="1" applyAlignment="1" applyProtection="1">
      <alignment horizontal="left"/>
    </xf>
    <xf numFmtId="0" fontId="12" fillId="0" borderId="3" xfId="0" applyFont="1" applyBorder="1" applyProtection="1"/>
    <xf numFmtId="0" fontId="12" fillId="0" borderId="0" xfId="0" applyFont="1" applyBorder="1" applyAlignment="1" applyProtection="1">
      <alignment horizontal="right"/>
    </xf>
    <xf numFmtId="0" fontId="12" fillId="0" borderId="0" xfId="0" applyFont="1" applyBorder="1" applyAlignment="1" applyProtection="1">
      <alignment horizontal="left"/>
    </xf>
    <xf numFmtId="0" fontId="6" fillId="0" borderId="0" xfId="0" applyFont="1" applyFill="1" applyBorder="1" applyProtection="1"/>
    <xf numFmtId="0" fontId="6" fillId="0" borderId="3" xfId="0" applyFont="1" applyBorder="1" applyProtection="1"/>
    <xf numFmtId="14" fontId="14" fillId="0" borderId="3" xfId="0" applyNumberFormat="1" applyFont="1" applyBorder="1" applyProtection="1"/>
    <xf numFmtId="0" fontId="48" fillId="0" borderId="11" xfId="0" applyFont="1" applyBorder="1" applyProtection="1"/>
    <xf numFmtId="0" fontId="12" fillId="0" borderId="11" xfId="0" applyFont="1" applyBorder="1" applyProtection="1"/>
    <xf numFmtId="14" fontId="15" fillId="0" borderId="3" xfId="0" applyNumberFormat="1" applyFont="1" applyBorder="1" applyProtection="1"/>
    <xf numFmtId="0" fontId="6" fillId="0" borderId="11" xfId="0" applyFont="1" applyBorder="1" applyProtection="1"/>
    <xf numFmtId="0" fontId="49" fillId="0" borderId="11" xfId="0" applyFont="1" applyBorder="1" applyProtection="1"/>
    <xf numFmtId="0" fontId="12" fillId="0" borderId="0" xfId="0" applyFont="1" applyBorder="1" applyAlignment="1" applyProtection="1">
      <alignment horizontal="left" indent="1"/>
    </xf>
    <xf numFmtId="14" fontId="15" fillId="0" borderId="11" xfId="0" applyNumberFormat="1" applyFont="1" applyBorder="1" applyProtection="1"/>
    <xf numFmtId="14" fontId="15" fillId="0" borderId="0" xfId="0" applyNumberFormat="1" applyFont="1" applyBorder="1" applyProtection="1"/>
    <xf numFmtId="0" fontId="6" fillId="0" borderId="0" xfId="0" applyFont="1" applyFill="1" applyAlignment="1" applyProtection="1">
      <alignment horizontal="left"/>
    </xf>
    <xf numFmtId="9" fontId="9" fillId="0" borderId="0" xfId="0" applyNumberFormat="1" applyFont="1" applyProtection="1"/>
    <xf numFmtId="0" fontId="83" fillId="0" borderId="0" xfId="0" applyFont="1" applyAlignment="1" applyProtection="1">
      <alignment horizontal="left" vertical="center"/>
    </xf>
    <xf numFmtId="0" fontId="12" fillId="0" borderId="0" xfId="0" applyFont="1" applyBorder="1" applyProtection="1"/>
    <xf numFmtId="49" fontId="6" fillId="0" borderId="0" xfId="0" applyNumberFormat="1" applyFont="1" applyAlignment="1" applyProtection="1">
      <alignment horizontal="right"/>
    </xf>
    <xf numFmtId="0" fontId="9" fillId="0" borderId="0" xfId="0" applyFont="1" applyFill="1" applyAlignment="1" applyProtection="1">
      <alignment horizontal="left" indent="5"/>
    </xf>
    <xf numFmtId="9" fontId="9" fillId="0" borderId="0" xfId="0" applyNumberFormat="1" applyFont="1" applyAlignment="1" applyProtection="1">
      <alignment horizontal="center"/>
    </xf>
    <xf numFmtId="0" fontId="6" fillId="0" borderId="0" xfId="0" applyFont="1" applyAlignment="1" applyProtection="1">
      <alignment horizontal="left"/>
    </xf>
    <xf numFmtId="0" fontId="6" fillId="0" borderId="0" xfId="0" applyFont="1" applyFill="1" applyAlignment="1" applyProtection="1">
      <alignment horizontal="centerContinuous"/>
    </xf>
    <xf numFmtId="0" fontId="6" fillId="0" borderId="0" xfId="0" applyFont="1" applyAlignment="1" applyProtection="1">
      <alignment horizontal="centerContinuous"/>
    </xf>
    <xf numFmtId="171" fontId="85" fillId="0" borderId="0" xfId="134" applyFont="1"/>
    <xf numFmtId="43" fontId="85" fillId="0" borderId="0" xfId="2" applyFont="1"/>
    <xf numFmtId="171" fontId="85" fillId="0" borderId="0" xfId="134" quotePrefix="1" applyFont="1" applyAlignment="1">
      <alignment horizontal="left"/>
    </xf>
    <xf numFmtId="172" fontId="85" fillId="11" borderId="15" xfId="134" applyNumberFormat="1" applyFont="1" applyFill="1" applyBorder="1" applyProtection="1"/>
    <xf numFmtId="7" fontId="85" fillId="0" borderId="16" xfId="134" applyNumberFormat="1" applyFont="1" applyBorder="1" applyAlignment="1" applyProtection="1">
      <alignment horizontal="left"/>
    </xf>
    <xf numFmtId="174" fontId="85" fillId="11" borderId="15" xfId="2" applyNumberFormat="1" applyFont="1" applyFill="1" applyBorder="1" applyProtection="1"/>
    <xf numFmtId="171" fontId="85" fillId="0" borderId="17" xfId="134" applyFont="1" applyBorder="1"/>
    <xf numFmtId="7" fontId="85" fillId="0" borderId="18" xfId="134" applyNumberFormat="1" applyFont="1" applyBorder="1" applyProtection="1"/>
    <xf numFmtId="43" fontId="85" fillId="0" borderId="17" xfId="2" applyFont="1" applyBorder="1" applyProtection="1"/>
    <xf numFmtId="7" fontId="85" fillId="0" borderId="18" xfId="134" applyNumberFormat="1" applyFont="1" applyBorder="1" applyAlignment="1" applyProtection="1">
      <alignment horizontal="left"/>
    </xf>
    <xf numFmtId="7" fontId="85" fillId="0" borderId="17" xfId="134" applyNumberFormat="1" applyFont="1" applyBorder="1" applyProtection="1"/>
    <xf numFmtId="44" fontId="85" fillId="0" borderId="17" xfId="6" applyFont="1" applyBorder="1" applyProtection="1"/>
    <xf numFmtId="43" fontId="86" fillId="0" borderId="17" xfId="2" applyFont="1" applyFill="1" applyBorder="1" applyProtection="1"/>
    <xf numFmtId="7" fontId="85" fillId="0" borderId="18" xfId="134" applyNumberFormat="1" applyFont="1" applyFill="1" applyBorder="1" applyAlignment="1" applyProtection="1">
      <alignment horizontal="left"/>
    </xf>
    <xf numFmtId="43" fontId="87" fillId="0" borderId="5" xfId="2" applyFont="1" applyFill="1" applyBorder="1" applyProtection="1"/>
    <xf numFmtId="7" fontId="85" fillId="0" borderId="18" xfId="134" quotePrefix="1" applyNumberFormat="1" applyFont="1" applyFill="1" applyBorder="1" applyAlignment="1" applyProtection="1">
      <alignment horizontal="left"/>
    </xf>
    <xf numFmtId="43" fontId="85" fillId="0" borderId="5" xfId="2" applyFont="1" applyFill="1" applyBorder="1" applyProtection="1"/>
    <xf numFmtId="7" fontId="88" fillId="5" borderId="18" xfId="134" applyNumberFormat="1" applyFont="1" applyFill="1" applyBorder="1" applyAlignment="1" applyProtection="1">
      <alignment horizontal="left"/>
    </xf>
    <xf numFmtId="7" fontId="88" fillId="5" borderId="18" xfId="134" applyNumberFormat="1" applyFont="1" applyFill="1" applyBorder="1" applyAlignment="1" applyProtection="1">
      <alignment horizontal="left" vertical="top"/>
    </xf>
    <xf numFmtId="7" fontId="85" fillId="0" borderId="17" xfId="6" applyNumberFormat="1" applyFont="1" applyBorder="1" applyProtection="1"/>
    <xf numFmtId="171" fontId="85" fillId="0" borderId="18" xfId="134" applyFont="1" applyBorder="1" applyAlignment="1" applyProtection="1">
      <alignment horizontal="left"/>
    </xf>
    <xf numFmtId="44" fontId="85" fillId="0" borderId="19" xfId="6" applyFont="1" applyFill="1" applyBorder="1" applyProtection="1"/>
    <xf numFmtId="171" fontId="85" fillId="0" borderId="15" xfId="134" applyFont="1" applyBorder="1" applyAlignment="1" applyProtection="1">
      <alignment horizontal="left"/>
    </xf>
    <xf numFmtId="171" fontId="88" fillId="0" borderId="16" xfId="134" applyFont="1" applyBorder="1" applyAlignment="1" applyProtection="1">
      <alignment horizontal="left"/>
    </xf>
    <xf numFmtId="43" fontId="85" fillId="0" borderId="15" xfId="2" applyFont="1" applyBorder="1" applyAlignment="1" applyProtection="1">
      <alignment horizontal="center"/>
    </xf>
    <xf numFmtId="171" fontId="85" fillId="0" borderId="0" xfId="134" applyFont="1" applyBorder="1" applyAlignment="1" applyProtection="1">
      <alignment horizontal="left"/>
    </xf>
    <xf numFmtId="7" fontId="85" fillId="12" borderId="20" xfId="134" applyNumberFormat="1" applyFont="1" applyFill="1" applyBorder="1" applyAlignment="1" applyProtection="1">
      <alignment horizontal="left"/>
    </xf>
    <xf numFmtId="7" fontId="85" fillId="12" borderId="21" xfId="134" applyNumberFormat="1" applyFont="1" applyFill="1" applyBorder="1" applyAlignment="1" applyProtection="1">
      <alignment horizontal="left"/>
    </xf>
    <xf numFmtId="43" fontId="85" fillId="12" borderId="9" xfId="2" applyFont="1" applyFill="1" applyBorder="1" applyProtection="1"/>
    <xf numFmtId="171" fontId="85" fillId="0" borderId="0" xfId="134" applyFont="1" applyFill="1"/>
    <xf numFmtId="172" fontId="85" fillId="0" borderId="0" xfId="134" applyNumberFormat="1" applyFont="1" applyBorder="1" applyProtection="1"/>
    <xf numFmtId="7" fontId="85" fillId="0" borderId="0" xfId="134" applyNumberFormat="1" applyFont="1" applyBorder="1" applyAlignment="1" applyProtection="1">
      <alignment horizontal="left"/>
    </xf>
    <xf numFmtId="43" fontId="85" fillId="0" borderId="0" xfId="2" applyFont="1" applyBorder="1" applyProtection="1"/>
    <xf numFmtId="174" fontId="85" fillId="11" borderId="7" xfId="2" applyNumberFormat="1" applyFont="1" applyFill="1" applyBorder="1" applyProtection="1"/>
    <xf numFmtId="7" fontId="85" fillId="0" borderId="6" xfId="134" applyNumberFormat="1" applyFont="1" applyBorder="1" applyAlignment="1" applyProtection="1">
      <alignment horizontal="left"/>
    </xf>
    <xf numFmtId="7" fontId="85" fillId="0" borderId="5" xfId="134" applyNumberFormat="1" applyFont="1" applyBorder="1" applyProtection="1"/>
    <xf numFmtId="7" fontId="85" fillId="0" borderId="4" xfId="134" applyNumberFormat="1" applyFont="1" applyBorder="1" applyAlignment="1" applyProtection="1">
      <alignment horizontal="left"/>
    </xf>
    <xf numFmtId="44" fontId="85" fillId="0" borderId="5" xfId="6" applyFont="1" applyBorder="1" applyProtection="1"/>
    <xf numFmtId="44" fontId="85" fillId="0" borderId="5" xfId="134" applyNumberFormat="1" applyFont="1" applyBorder="1" applyProtection="1"/>
    <xf numFmtId="44" fontId="85" fillId="0" borderId="5" xfId="6" applyNumberFormat="1" applyFont="1" applyBorder="1" applyProtection="1"/>
    <xf numFmtId="43" fontId="86" fillId="0" borderId="5" xfId="2" applyFont="1" applyFill="1" applyBorder="1" applyProtection="1"/>
    <xf numFmtId="7" fontId="85" fillId="0" borderId="4" xfId="134" applyNumberFormat="1" applyFont="1" applyFill="1" applyBorder="1" applyAlignment="1" applyProtection="1">
      <alignment horizontal="left"/>
    </xf>
    <xf numFmtId="7" fontId="85" fillId="0" borderId="4" xfId="134" quotePrefix="1" applyNumberFormat="1" applyFont="1" applyFill="1" applyBorder="1" applyAlignment="1" applyProtection="1">
      <alignment horizontal="left"/>
    </xf>
    <xf numFmtId="0" fontId="85" fillId="0" borderId="0" xfId="2" applyNumberFormat="1" applyFont="1"/>
    <xf numFmtId="171" fontId="85" fillId="0" borderId="0" xfId="134" applyFont="1" applyAlignment="1"/>
    <xf numFmtId="174" fontId="85" fillId="11" borderId="7" xfId="2" applyNumberFormat="1" applyFont="1" applyFill="1" applyBorder="1" applyAlignment="1" applyProtection="1"/>
    <xf numFmtId="7" fontId="85" fillId="0" borderId="6" xfId="134" applyNumberFormat="1" applyFont="1" applyFill="1" applyBorder="1" applyAlignment="1" applyProtection="1">
      <alignment horizontal="left"/>
    </xf>
    <xf numFmtId="171" fontId="85" fillId="0" borderId="0" xfId="134" applyFont="1" applyFill="1" applyAlignment="1"/>
    <xf numFmtId="43" fontId="85" fillId="0" borderId="5" xfId="2" applyFont="1" applyFill="1" applyBorder="1" applyAlignment="1" applyProtection="1"/>
    <xf numFmtId="7" fontId="88" fillId="5" borderId="4" xfId="134" applyNumberFormat="1" applyFont="1" applyFill="1" applyBorder="1" applyAlignment="1" applyProtection="1"/>
    <xf numFmtId="172" fontId="85" fillId="0" borderId="0" xfId="134" applyNumberFormat="1" applyFont="1" applyBorder="1" applyAlignment="1" applyProtection="1"/>
    <xf numFmtId="43" fontId="85" fillId="0" borderId="5" xfId="2" applyFont="1" applyBorder="1"/>
    <xf numFmtId="7" fontId="85" fillId="0" borderId="4" xfId="134" applyNumberFormat="1" applyFont="1" applyFill="1" applyBorder="1" applyProtection="1"/>
    <xf numFmtId="171" fontId="85" fillId="0" borderId="22" xfId="134" applyFont="1" applyFill="1" applyBorder="1" applyAlignment="1" applyProtection="1">
      <alignment horizontal="left"/>
    </xf>
    <xf numFmtId="43" fontId="86" fillId="0" borderId="5" xfId="2" applyFont="1" applyBorder="1" applyProtection="1"/>
    <xf numFmtId="174" fontId="85" fillId="11" borderId="17" xfId="2" applyNumberFormat="1" applyFont="1" applyFill="1" applyBorder="1" applyProtection="1"/>
    <xf numFmtId="43" fontId="85" fillId="0" borderId="5" xfId="2" applyFont="1" applyBorder="1" applyProtection="1"/>
    <xf numFmtId="7" fontId="85" fillId="0" borderId="5" xfId="134" applyNumberFormat="1" applyFont="1" applyFill="1" applyBorder="1" applyProtection="1"/>
    <xf numFmtId="44" fontId="85" fillId="0" borderId="5" xfId="6" applyFont="1" applyFill="1" applyBorder="1" applyProtection="1"/>
    <xf numFmtId="43" fontId="86" fillId="0" borderId="17" xfId="2" applyFont="1" applyBorder="1" applyProtection="1"/>
    <xf numFmtId="171" fontId="85" fillId="0" borderId="4" xfId="134" applyFont="1" applyFill="1" applyBorder="1" applyAlignment="1" applyProtection="1">
      <alignment horizontal="left"/>
    </xf>
    <xf numFmtId="43" fontId="85" fillId="0" borderId="5" xfId="2" applyFont="1" applyBorder="1" applyAlignment="1" applyProtection="1"/>
    <xf numFmtId="7" fontId="88" fillId="5" borderId="4" xfId="134" applyNumberFormat="1" applyFont="1" applyFill="1" applyBorder="1" applyAlignment="1" applyProtection="1">
      <alignment horizontal="left"/>
    </xf>
    <xf numFmtId="44" fontId="85" fillId="0" borderId="19" xfId="6" applyFont="1" applyBorder="1" applyProtection="1"/>
    <xf numFmtId="43" fontId="85" fillId="0" borderId="17" xfId="2" applyFont="1" applyBorder="1"/>
    <xf numFmtId="7" fontId="85" fillId="0" borderId="18" xfId="134" applyNumberFormat="1" applyFont="1" applyFill="1" applyBorder="1" applyProtection="1"/>
    <xf numFmtId="172" fontId="85" fillId="11" borderId="7" xfId="134" applyNumberFormat="1" applyFont="1" applyFill="1" applyBorder="1" applyProtection="1"/>
    <xf numFmtId="7" fontId="85" fillId="0" borderId="17" xfId="134" applyNumberFormat="1" applyFont="1" applyFill="1" applyBorder="1" applyProtection="1"/>
    <xf numFmtId="43" fontId="85" fillId="0" borderId="17" xfId="2" applyFont="1" applyFill="1" applyBorder="1" applyProtection="1"/>
    <xf numFmtId="43" fontId="87" fillId="0" borderId="17" xfId="2" applyFont="1" applyBorder="1" applyProtection="1"/>
    <xf numFmtId="7" fontId="85" fillId="0" borderId="17" xfId="6" applyNumberFormat="1" applyFont="1" applyFill="1" applyBorder="1" applyProtection="1"/>
    <xf numFmtId="7" fontId="85" fillId="0" borderId="18" xfId="134" quotePrefix="1" applyNumberFormat="1" applyFont="1" applyBorder="1" applyAlignment="1" applyProtection="1">
      <alignment horizontal="left"/>
    </xf>
    <xf numFmtId="171" fontId="85" fillId="0" borderId="0" xfId="134" applyFont="1" applyAlignment="1">
      <alignment wrapText="1"/>
    </xf>
    <xf numFmtId="43" fontId="85" fillId="0" borderId="17" xfId="2" applyFont="1" applyBorder="1" applyAlignment="1" applyProtection="1">
      <alignment wrapText="1"/>
    </xf>
    <xf numFmtId="7" fontId="88" fillId="5" borderId="18" xfId="134" applyNumberFormat="1" applyFont="1" applyFill="1" applyBorder="1" applyAlignment="1" applyProtection="1">
      <alignment horizontal="left" wrapText="1"/>
    </xf>
    <xf numFmtId="43" fontId="85" fillId="0" borderId="5" xfId="2" applyFont="1" applyBorder="1" applyAlignment="1" applyProtection="1">
      <alignment wrapText="1"/>
    </xf>
    <xf numFmtId="171" fontId="85" fillId="0" borderId="22" xfId="134" applyFont="1" applyBorder="1" applyAlignment="1" applyProtection="1">
      <alignment horizontal="left"/>
    </xf>
    <xf numFmtId="171" fontId="85" fillId="0" borderId="15" xfId="134" applyFont="1" applyBorder="1" applyAlignment="1">
      <alignment horizontal="center"/>
    </xf>
    <xf numFmtId="43" fontId="85" fillId="0" borderId="15" xfId="2" applyFont="1" applyBorder="1" applyAlignment="1">
      <alignment horizontal="center"/>
    </xf>
    <xf numFmtId="171" fontId="85" fillId="0" borderId="17" xfId="134" applyFont="1" applyBorder="1" applyAlignment="1" applyProtection="1">
      <alignment horizontal="center"/>
    </xf>
    <xf numFmtId="171" fontId="88" fillId="0" borderId="18" xfId="134" applyFont="1" applyBorder="1" applyAlignment="1" applyProtection="1">
      <alignment horizontal="left"/>
    </xf>
    <xf numFmtId="171" fontId="88" fillId="0" borderId="0" xfId="134" applyFont="1"/>
    <xf numFmtId="7" fontId="85" fillId="0" borderId="0" xfId="134" applyNumberFormat="1" applyFont="1" applyFill="1" applyBorder="1" applyAlignment="1" applyProtection="1">
      <alignment horizontal="left" wrapText="1"/>
    </xf>
    <xf numFmtId="171" fontId="89" fillId="0" borderId="0" xfId="134" applyFont="1" applyAlignment="1">
      <alignment horizontal="center" vertical="top"/>
    </xf>
    <xf numFmtId="171" fontId="85" fillId="0" borderId="0" xfId="134" applyFont="1" applyAlignment="1">
      <alignment horizontal="center"/>
    </xf>
    <xf numFmtId="171" fontId="90" fillId="0" borderId="0" xfId="134" applyFont="1" applyAlignment="1" applyProtection="1">
      <alignment horizontal="center"/>
    </xf>
    <xf numFmtId="7" fontId="85" fillId="13" borderId="22" xfId="134" applyNumberFormat="1" applyFont="1" applyFill="1" applyBorder="1" applyAlignment="1" applyProtection="1">
      <alignment horizontal="left"/>
    </xf>
    <xf numFmtId="171" fontId="88" fillId="0" borderId="0" xfId="134" applyFont="1" applyAlignment="1" applyProtection="1">
      <alignment horizontal="left"/>
    </xf>
    <xf numFmtId="0" fontId="52" fillId="0" borderId="0" xfId="135" applyBorder="1"/>
    <xf numFmtId="0" fontId="52" fillId="0" borderId="0" xfId="135" applyBorder="1" applyAlignment="1">
      <alignment horizontal="centerContinuous"/>
    </xf>
    <xf numFmtId="0" fontId="47" fillId="0" borderId="0" xfId="135" applyFont="1" applyBorder="1"/>
    <xf numFmtId="0" fontId="43" fillId="0" borderId="0" xfId="135" applyFont="1" applyBorder="1" applyAlignment="1" applyProtection="1">
      <alignment horizontal="centerContinuous"/>
    </xf>
    <xf numFmtId="0" fontId="47" fillId="0" borderId="0" xfId="135" applyFont="1" applyBorder="1" applyAlignment="1">
      <alignment horizontal="centerContinuous"/>
    </xf>
    <xf numFmtId="0" fontId="53" fillId="0" borderId="0" xfId="135" applyFont="1" applyBorder="1"/>
    <xf numFmtId="0" fontId="43" fillId="0" borderId="23" xfId="135" applyFont="1" applyBorder="1" applyAlignment="1" applyProtection="1">
      <alignment horizontal="center"/>
    </xf>
    <xf numFmtId="0" fontId="43" fillId="0" borderId="13" xfId="135" applyFont="1" applyBorder="1"/>
    <xf numFmtId="0" fontId="43" fillId="0" borderId="24" xfId="135" applyFont="1" applyBorder="1"/>
    <xf numFmtId="0" fontId="43" fillId="0" borderId="25" xfId="135" applyFont="1" applyBorder="1"/>
    <xf numFmtId="0" fontId="54" fillId="0" borderId="25" xfId="135" applyFont="1" applyBorder="1" applyAlignment="1">
      <alignment horizontal="center"/>
    </xf>
    <xf numFmtId="0" fontId="43" fillId="0" borderId="25" xfId="135" applyFont="1" applyBorder="1" applyAlignment="1" applyProtection="1">
      <alignment horizontal="center"/>
    </xf>
    <xf numFmtId="0" fontId="43" fillId="0" borderId="26" xfId="135" applyFont="1" applyBorder="1" applyAlignment="1" applyProtection="1">
      <alignment horizontal="center"/>
    </xf>
    <xf numFmtId="0" fontId="43" fillId="0" borderId="27" xfId="135" applyFont="1" applyBorder="1" applyAlignment="1" applyProtection="1">
      <alignment horizontal="center"/>
    </xf>
    <xf numFmtId="0" fontId="43" fillId="0" borderId="28" xfId="135" applyFont="1" applyBorder="1"/>
    <xf numFmtId="0" fontId="43" fillId="0" borderId="29" xfId="135" applyFont="1" applyBorder="1" applyAlignment="1" applyProtection="1">
      <alignment horizontal="centerContinuous"/>
    </xf>
    <xf numFmtId="0" fontId="43" fillId="0" borderId="28" xfId="135" applyFont="1" applyBorder="1" applyAlignment="1" applyProtection="1">
      <alignment horizontal="centerContinuous"/>
    </xf>
    <xf numFmtId="0" fontId="43" fillId="0" borderId="28" xfId="135" applyFont="1" applyBorder="1" applyAlignment="1">
      <alignment horizontal="centerContinuous"/>
    </xf>
    <xf numFmtId="0" fontId="52" fillId="0" borderId="28" xfId="135" applyBorder="1" applyAlignment="1">
      <alignment horizontal="centerContinuous"/>
    </xf>
    <xf numFmtId="0" fontId="43" fillId="0" borderId="30" xfId="135" applyFont="1" applyBorder="1" applyAlignment="1" applyProtection="1">
      <alignment horizontal="center"/>
    </xf>
    <xf numFmtId="0" fontId="43" fillId="0" borderId="31" xfId="135" applyFont="1" applyBorder="1" applyAlignment="1" applyProtection="1">
      <alignment horizontal="center"/>
    </xf>
    <xf numFmtId="0" fontId="55" fillId="0" borderId="0" xfId="135" applyFont="1" applyBorder="1"/>
    <xf numFmtId="0" fontId="47" fillId="0" borderId="32" xfId="135" applyFont="1" applyBorder="1"/>
    <xf numFmtId="0" fontId="47" fillId="0" borderId="33" xfId="135" applyFont="1" applyBorder="1"/>
    <xf numFmtId="0" fontId="47" fillId="0" borderId="34" xfId="135" applyFont="1" applyBorder="1"/>
    <xf numFmtId="0" fontId="47" fillId="0" borderId="34" xfId="135" applyFont="1" applyBorder="1" applyAlignment="1">
      <alignment horizontal="center"/>
    </xf>
    <xf numFmtId="0" fontId="47" fillId="0" borderId="35" xfId="135" applyFont="1" applyBorder="1"/>
    <xf numFmtId="0" fontId="56" fillId="0" borderId="0" xfId="135" quotePrefix="1" applyFont="1" applyBorder="1" applyAlignment="1" applyProtection="1">
      <alignment horizontal="right"/>
    </xf>
    <xf numFmtId="0" fontId="47" fillId="0" borderId="32" xfId="135" applyFont="1" applyBorder="1" applyAlignment="1" applyProtection="1">
      <alignment horizontal="center"/>
    </xf>
    <xf numFmtId="0" fontId="47" fillId="0" borderId="33" xfId="135" quotePrefix="1" applyFont="1" applyBorder="1" applyAlignment="1" applyProtection="1">
      <alignment horizontal="left"/>
    </xf>
    <xf numFmtId="0" fontId="47" fillId="0" borderId="0" xfId="135" applyFont="1" applyBorder="1" applyAlignment="1" applyProtection="1">
      <alignment horizontal="left"/>
    </xf>
    <xf numFmtId="0" fontId="47" fillId="0" borderId="34" xfId="135" applyFont="1" applyBorder="1" applyAlignment="1" applyProtection="1">
      <alignment horizontal="center"/>
    </xf>
    <xf numFmtId="0" fontId="47" fillId="0" borderId="35" xfId="135" applyFont="1" applyBorder="1" applyAlignment="1" applyProtection="1">
      <alignment horizontal="center"/>
    </xf>
    <xf numFmtId="0" fontId="43" fillId="8" borderId="32" xfId="135" applyFont="1" applyFill="1" applyBorder="1" applyAlignment="1" applyProtection="1">
      <alignment horizontal="center"/>
    </xf>
    <xf numFmtId="0" fontId="43" fillId="8" borderId="0" xfId="135" applyFont="1" applyFill="1" applyBorder="1"/>
    <xf numFmtId="0" fontId="43" fillId="8" borderId="33" xfId="135" applyFont="1" applyFill="1" applyBorder="1" applyAlignment="1" applyProtection="1">
      <alignment horizontal="left"/>
    </xf>
    <xf numFmtId="0" fontId="43" fillId="8" borderId="0" xfId="135" applyFont="1" applyFill="1" applyBorder="1" applyAlignment="1" applyProtection="1">
      <alignment horizontal="left"/>
    </xf>
    <xf numFmtId="0" fontId="43" fillId="8" borderId="34" xfId="135" applyFont="1" applyFill="1" applyBorder="1" applyAlignment="1" applyProtection="1">
      <alignment horizontal="center"/>
    </xf>
    <xf numFmtId="0" fontId="43" fillId="8" borderId="34" xfId="135" applyFont="1" applyFill="1" applyBorder="1" applyAlignment="1">
      <alignment horizontal="center"/>
    </xf>
    <xf numFmtId="0" fontId="43" fillId="8" borderId="35" xfId="135" applyFont="1" applyFill="1" applyBorder="1" applyAlignment="1" applyProtection="1">
      <alignment horizontal="center"/>
    </xf>
    <xf numFmtId="0" fontId="47" fillId="0" borderId="32" xfId="135" applyFont="1" applyFill="1" applyBorder="1" applyAlignment="1" applyProtection="1">
      <alignment horizontal="center"/>
    </xf>
    <xf numFmtId="0" fontId="47" fillId="0" borderId="0" xfId="135" applyFont="1" applyFill="1" applyBorder="1"/>
    <xf numFmtId="0" fontId="47" fillId="0" borderId="33" xfId="135" applyFont="1" applyFill="1" applyBorder="1" applyAlignment="1" applyProtection="1">
      <alignment horizontal="left"/>
    </xf>
    <xf numFmtId="0" fontId="47" fillId="0" borderId="0" xfId="135" applyFont="1" applyFill="1" applyBorder="1" applyAlignment="1" applyProtection="1">
      <alignment horizontal="left"/>
    </xf>
    <xf numFmtId="0" fontId="47" fillId="0" borderId="34" xfId="135" applyFont="1" applyFill="1" applyBorder="1" applyAlignment="1" applyProtection="1">
      <alignment horizontal="center"/>
    </xf>
    <xf numFmtId="0" fontId="47" fillId="0" borderId="34" xfId="135" applyFont="1" applyFill="1" applyBorder="1" applyAlignment="1">
      <alignment horizontal="center"/>
    </xf>
    <xf numFmtId="0" fontId="47" fillId="0" borderId="35" xfId="135" applyFont="1" applyFill="1" applyBorder="1" applyAlignment="1" applyProtection="1">
      <alignment horizontal="center"/>
    </xf>
    <xf numFmtId="0" fontId="47" fillId="0" borderId="0" xfId="135" quotePrefix="1" applyFont="1" applyFill="1" applyBorder="1" applyAlignment="1" applyProtection="1">
      <alignment horizontal="left"/>
    </xf>
    <xf numFmtId="0" fontId="56" fillId="0" borderId="0" xfId="135" applyFont="1" applyBorder="1" applyAlignment="1" applyProtection="1">
      <alignment horizontal="right"/>
    </xf>
    <xf numFmtId="0" fontId="47" fillId="0" borderId="33" xfId="135" applyFont="1" applyFill="1" applyBorder="1" applyAlignment="1" applyProtection="1">
      <alignment horizontal="left" wrapText="1"/>
    </xf>
    <xf numFmtId="0" fontId="43" fillId="0" borderId="0" xfId="135" applyFont="1" applyFill="1" applyBorder="1"/>
    <xf numFmtId="0" fontId="43" fillId="0" borderId="33" xfId="135" applyFont="1" applyFill="1" applyBorder="1" applyAlignment="1" applyProtection="1">
      <alignment horizontal="left"/>
    </xf>
    <xf numFmtId="0" fontId="43" fillId="0" borderId="0" xfId="135" applyFont="1" applyFill="1" applyBorder="1" applyAlignment="1" applyProtection="1">
      <alignment horizontal="left"/>
    </xf>
    <xf numFmtId="0" fontId="43" fillId="0" borderId="34" xfId="135" applyFont="1" applyFill="1" applyBorder="1" applyAlignment="1" applyProtection="1">
      <alignment horizontal="center"/>
    </xf>
    <xf numFmtId="0" fontId="43" fillId="0" borderId="34" xfId="135" applyFont="1" applyFill="1" applyBorder="1" applyAlignment="1">
      <alignment horizontal="center"/>
    </xf>
    <xf numFmtId="0" fontId="43" fillId="0" borderId="35" xfId="135" applyFont="1" applyFill="1" applyBorder="1" applyAlignment="1" applyProtection="1">
      <alignment horizontal="center"/>
    </xf>
    <xf numFmtId="0" fontId="43" fillId="8" borderId="36" xfId="135" applyFont="1" applyFill="1" applyBorder="1" applyAlignment="1" applyProtection="1">
      <alignment horizontal="center"/>
    </xf>
    <xf numFmtId="0" fontId="43" fillId="8" borderId="3" xfId="135" applyFont="1" applyFill="1" applyBorder="1"/>
    <xf numFmtId="0" fontId="43" fillId="8" borderId="37" xfId="135" applyFont="1" applyFill="1" applyBorder="1" applyAlignment="1" applyProtection="1">
      <alignment horizontal="left"/>
    </xf>
    <xf numFmtId="0" fontId="43" fillId="8" borderId="3" xfId="135" applyFont="1" applyFill="1" applyBorder="1" applyAlignment="1" applyProtection="1">
      <alignment horizontal="left"/>
    </xf>
    <xf numFmtId="0" fontId="43" fillId="8" borderId="38" xfId="135" applyFont="1" applyFill="1" applyBorder="1" applyAlignment="1" applyProtection="1">
      <alignment horizontal="center"/>
    </xf>
    <xf numFmtId="0" fontId="43" fillId="8" borderId="38" xfId="135" applyFont="1" applyFill="1" applyBorder="1" applyAlignment="1">
      <alignment horizontal="center"/>
    </xf>
    <xf numFmtId="0" fontId="43" fillId="8" borderId="39" xfId="135" applyFont="1" applyFill="1" applyBorder="1" applyAlignment="1" applyProtection="1">
      <alignment horizontal="center"/>
    </xf>
    <xf numFmtId="0" fontId="57" fillId="0" borderId="0" xfId="135" applyFont="1"/>
    <xf numFmtId="0" fontId="52" fillId="0" borderId="0" xfId="135"/>
    <xf numFmtId="0" fontId="56" fillId="0" borderId="0" xfId="135" applyFont="1" applyBorder="1"/>
    <xf numFmtId="0" fontId="58" fillId="0" borderId="0" xfId="135" applyFont="1" applyBorder="1"/>
    <xf numFmtId="0" fontId="43" fillId="8" borderId="21" xfId="135" applyFont="1" applyFill="1" applyBorder="1" applyAlignment="1" applyProtection="1">
      <alignment horizontal="centerContinuous"/>
    </xf>
    <xf numFmtId="0" fontId="43" fillId="14" borderId="11" xfId="135" applyFont="1" applyFill="1" applyBorder="1" applyAlignment="1">
      <alignment horizontal="centerContinuous"/>
    </xf>
    <xf numFmtId="0" fontId="43" fillId="8" borderId="11" xfId="135" applyFont="1" applyFill="1" applyBorder="1" applyAlignment="1">
      <alignment horizontal="centerContinuous"/>
    </xf>
    <xf numFmtId="0" fontId="43" fillId="8" borderId="9" xfId="135" applyFont="1" applyFill="1" applyBorder="1" applyAlignment="1">
      <alignment horizontal="centerContinuous"/>
    </xf>
    <xf numFmtId="0" fontId="59" fillId="8" borderId="4" xfId="135" applyFont="1" applyFill="1" applyBorder="1"/>
    <xf numFmtId="0" fontId="43" fillId="14" borderId="0" xfId="135" applyFont="1" applyFill="1" applyBorder="1" applyAlignment="1">
      <alignment horizontal="centerContinuous"/>
    </xf>
    <xf numFmtId="0" fontId="43" fillId="8" borderId="0" xfId="135" applyFont="1" applyFill="1" applyBorder="1" applyAlignment="1">
      <alignment horizontal="centerContinuous"/>
    </xf>
    <xf numFmtId="0" fontId="43" fillId="8" borderId="0" xfId="135" applyFont="1" applyFill="1" applyBorder="1" applyAlignment="1" applyProtection="1">
      <alignment horizontal="centerContinuous"/>
    </xf>
    <xf numFmtId="0" fontId="59" fillId="8" borderId="0" xfId="135" applyFont="1" applyFill="1" applyBorder="1" applyAlignment="1">
      <alignment horizontal="centerContinuous"/>
    </xf>
    <xf numFmtId="0" fontId="43" fillId="8" borderId="5" xfId="135" applyFont="1" applyFill="1" applyBorder="1" applyAlignment="1" applyProtection="1">
      <alignment horizontal="center"/>
    </xf>
    <xf numFmtId="0" fontId="60" fillId="8" borderId="4" xfId="135" quotePrefix="1" applyFont="1" applyFill="1" applyBorder="1" applyAlignment="1" applyProtection="1">
      <alignment horizontal="left"/>
    </xf>
    <xf numFmtId="0" fontId="60" fillId="14" borderId="0" xfId="135" applyFont="1" applyFill="1" applyBorder="1" applyAlignment="1">
      <alignment horizontal="centerContinuous"/>
    </xf>
    <xf numFmtId="0" fontId="60" fillId="8" borderId="0" xfId="135" applyFont="1" applyFill="1" applyBorder="1" applyAlignment="1">
      <alignment horizontal="centerContinuous"/>
    </xf>
    <xf numFmtId="0" fontId="60" fillId="8" borderId="0" xfId="135" applyFont="1" applyFill="1" applyBorder="1" applyAlignment="1" applyProtection="1">
      <alignment horizontal="centerContinuous"/>
    </xf>
    <xf numFmtId="0" fontId="60" fillId="8" borderId="5" xfId="135" applyFont="1" applyFill="1" applyBorder="1" applyAlignment="1" applyProtection="1">
      <alignment horizontal="center"/>
    </xf>
    <xf numFmtId="0" fontId="43" fillId="8" borderId="4" xfId="135" applyFont="1" applyFill="1" applyBorder="1" applyAlignment="1" applyProtection="1">
      <alignment horizontal="left"/>
    </xf>
    <xf numFmtId="10" fontId="43" fillId="8" borderId="5" xfId="135" applyNumberFormat="1" applyFont="1" applyFill="1" applyBorder="1" applyProtection="1"/>
    <xf numFmtId="0" fontId="43" fillId="8" borderId="4" xfId="135" applyFont="1" applyFill="1" applyBorder="1" applyAlignment="1" applyProtection="1">
      <alignment horizontal="centerContinuous"/>
    </xf>
    <xf numFmtId="0" fontId="43" fillId="8" borderId="6" xfId="135" applyFont="1" applyFill="1" applyBorder="1" applyAlignment="1" applyProtection="1">
      <alignment horizontal="centerContinuous"/>
    </xf>
    <xf numFmtId="0" fontId="43" fillId="14" borderId="3" xfId="135" applyFont="1" applyFill="1" applyBorder="1" applyAlignment="1">
      <alignment horizontal="centerContinuous"/>
    </xf>
    <xf numFmtId="0" fontId="43" fillId="8" borderId="3" xfId="135" applyFont="1" applyFill="1" applyBorder="1" applyAlignment="1">
      <alignment horizontal="centerContinuous"/>
    </xf>
    <xf numFmtId="0" fontId="43" fillId="8" borderId="3" xfId="135" applyFont="1" applyFill="1" applyBorder="1" applyAlignment="1" applyProtection="1">
      <alignment horizontal="centerContinuous"/>
    </xf>
    <xf numFmtId="0" fontId="59" fillId="8" borderId="3" xfId="135" applyFont="1" applyFill="1" applyBorder="1" applyAlignment="1">
      <alignment horizontal="centerContinuous"/>
    </xf>
    <xf numFmtId="10" fontId="43" fillId="8" borderId="7" xfId="135" applyNumberFormat="1" applyFont="1" applyFill="1" applyBorder="1" applyProtection="1"/>
    <xf numFmtId="0" fontId="56" fillId="0" borderId="3" xfId="135" applyFont="1" applyBorder="1"/>
    <xf numFmtId="0" fontId="58" fillId="0" borderId="3" xfId="135" applyFont="1" applyBorder="1"/>
    <xf numFmtId="0" fontId="47" fillId="0" borderId="3" xfId="135" applyFont="1" applyBorder="1"/>
    <xf numFmtId="0" fontId="47" fillId="0" borderId="0" xfId="135" quotePrefix="1" applyFont="1" applyBorder="1" applyAlignment="1" applyProtection="1">
      <alignment horizontal="left"/>
    </xf>
    <xf numFmtId="0" fontId="61" fillId="0" borderId="0" xfId="135" applyFont="1" applyBorder="1"/>
    <xf numFmtId="0" fontId="62" fillId="0" borderId="0" xfId="135" applyFont="1" applyBorder="1"/>
    <xf numFmtId="0" fontId="47" fillId="0" borderId="0" xfId="135" quotePrefix="1" applyFont="1" applyBorder="1" applyAlignment="1">
      <alignment horizontal="left"/>
    </xf>
    <xf numFmtId="0" fontId="63" fillId="0" borderId="0" xfId="135" applyFont="1" applyBorder="1"/>
    <xf numFmtId="0" fontId="47" fillId="0" borderId="0" xfId="135" applyFont="1" applyBorder="1" applyAlignment="1">
      <alignment horizontal="left"/>
    </xf>
    <xf numFmtId="0" fontId="64" fillId="0" borderId="0" xfId="135" applyFont="1" applyBorder="1"/>
    <xf numFmtId="0" fontId="18" fillId="0" borderId="0" xfId="32" applyFont="1" applyAlignment="1">
      <alignment horizontal="center"/>
    </xf>
    <xf numFmtId="0" fontId="19" fillId="0" borderId="0" xfId="32" applyFont="1" applyAlignment="1">
      <alignment horizontal="center"/>
    </xf>
    <xf numFmtId="0" fontId="20" fillId="0" borderId="0" xfId="32" applyFont="1" applyAlignment="1" applyProtection="1">
      <alignment horizontal="centerContinuous"/>
    </xf>
    <xf numFmtId="0" fontId="21" fillId="0" borderId="0" xfId="32" applyFont="1" applyAlignment="1">
      <alignment horizontal="centerContinuous"/>
    </xf>
    <xf numFmtId="0" fontId="21" fillId="0" borderId="0" xfId="32" applyFont="1" applyAlignment="1">
      <alignment horizontal="left"/>
    </xf>
    <xf numFmtId="0" fontId="22" fillId="0" borderId="0" xfId="32" applyFont="1" applyBorder="1"/>
    <xf numFmtId="0" fontId="23" fillId="0" borderId="0" xfId="32" applyFont="1" applyBorder="1" applyAlignment="1" applyProtection="1">
      <alignment horizontal="center"/>
    </xf>
    <xf numFmtId="0" fontId="24" fillId="0" borderId="0" xfId="32" applyFont="1" applyBorder="1" applyAlignment="1" applyProtection="1">
      <alignment horizontal="right"/>
    </xf>
    <xf numFmtId="0" fontId="22" fillId="0" borderId="0" xfId="32" quotePrefix="1" applyFont="1" applyBorder="1" applyAlignment="1" applyProtection="1">
      <alignment horizontal="left"/>
    </xf>
    <xf numFmtId="167" fontId="22" fillId="0" borderId="0" xfId="32" applyNumberFormat="1" applyFont="1" applyBorder="1" applyProtection="1"/>
    <xf numFmtId="0" fontId="22" fillId="0" borderId="0" xfId="32" quotePrefix="1" applyFont="1" applyBorder="1" applyAlignment="1" applyProtection="1">
      <alignment horizontal="center"/>
    </xf>
    <xf numFmtId="0" fontId="22" fillId="0" borderId="0" xfId="32" applyFont="1" applyBorder="1" applyAlignment="1" applyProtection="1">
      <alignment horizontal="left"/>
    </xf>
    <xf numFmtId="0" fontId="24" fillId="0" borderId="0" xfId="32" applyFont="1" applyBorder="1"/>
    <xf numFmtId="7" fontId="22" fillId="0" borderId="0" xfId="32" applyNumberFormat="1" applyFont="1" applyBorder="1" applyProtection="1"/>
    <xf numFmtId="0" fontId="25" fillId="0" borderId="0" xfId="32" applyFont="1" applyBorder="1" applyAlignment="1" applyProtection="1">
      <alignment horizontal="left"/>
    </xf>
    <xf numFmtId="0" fontId="21" fillId="0" borderId="0" xfId="32" applyFont="1" applyBorder="1" applyAlignment="1">
      <alignment horizontal="centerContinuous"/>
    </xf>
    <xf numFmtId="0" fontId="22" fillId="0" borderId="0" xfId="32" applyFont="1" applyAlignment="1">
      <alignment horizontal="centerContinuous"/>
    </xf>
    <xf numFmtId="0" fontId="22" fillId="0" borderId="0" xfId="32" applyFont="1" applyBorder="1" applyAlignment="1">
      <alignment horizontal="centerContinuous"/>
    </xf>
    <xf numFmtId="0" fontId="22" fillId="0" borderId="0" xfId="32" applyFont="1"/>
    <xf numFmtId="0" fontId="25" fillId="0" borderId="0" xfId="32" quotePrefix="1" applyFont="1" applyBorder="1" applyAlignment="1" applyProtection="1">
      <alignment horizontal="left"/>
    </xf>
    <xf numFmtId="0" fontId="25" fillId="0" borderId="0" xfId="32" applyFont="1" applyBorder="1" applyAlignment="1" applyProtection="1">
      <alignment horizontal="centerContinuous"/>
    </xf>
    <xf numFmtId="167" fontId="25" fillId="0" borderId="0" xfId="32" applyNumberFormat="1" applyFont="1" applyBorder="1" applyAlignment="1" applyProtection="1">
      <alignment horizontal="right"/>
    </xf>
    <xf numFmtId="0" fontId="26" fillId="0" borderId="0" xfId="32" applyFont="1" applyBorder="1" applyAlignment="1">
      <alignment horizontal="right"/>
    </xf>
    <xf numFmtId="167" fontId="25" fillId="0" borderId="0" xfId="32" applyNumberFormat="1" applyFont="1" applyBorder="1" applyAlignment="1" applyProtection="1">
      <alignment horizontal="center"/>
    </xf>
    <xf numFmtId="0" fontId="26" fillId="0" borderId="0" xfId="32" applyFont="1" applyBorder="1" applyAlignment="1" applyProtection="1">
      <alignment horizontal="left"/>
    </xf>
    <xf numFmtId="165" fontId="22" fillId="0" borderId="0" xfId="32" applyNumberFormat="1" applyFont="1" applyBorder="1" applyAlignment="1">
      <alignment horizontal="right"/>
    </xf>
    <xf numFmtId="165" fontId="22" fillId="0" borderId="0" xfId="32" applyNumberFormat="1" applyFont="1" applyBorder="1" applyProtection="1"/>
    <xf numFmtId="165" fontId="22" fillId="0" borderId="0" xfId="32" applyNumberFormat="1" applyFont="1" applyBorder="1" applyAlignment="1">
      <alignment horizontal="center"/>
    </xf>
    <xf numFmtId="165" fontId="22" fillId="0" borderId="0" xfId="32" applyNumberFormat="1" applyFont="1" applyBorder="1"/>
    <xf numFmtId="0" fontId="26" fillId="0" borderId="0" xfId="32" applyFont="1" applyBorder="1"/>
    <xf numFmtId="165" fontId="22" fillId="0" borderId="8" xfId="32" applyNumberFormat="1" applyFont="1" applyBorder="1" applyAlignment="1">
      <alignment horizontal="center"/>
    </xf>
    <xf numFmtId="0" fontId="22" fillId="0" borderId="9" xfId="32" applyFont="1" applyBorder="1"/>
    <xf numFmtId="165" fontId="22" fillId="0" borderId="10" xfId="32" applyNumberFormat="1" applyFont="1" applyBorder="1" applyAlignment="1">
      <alignment horizontal="center"/>
    </xf>
    <xf numFmtId="165" fontId="22" fillId="0" borderId="7" xfId="32" applyNumberFormat="1" applyFont="1" applyBorder="1" applyAlignment="1">
      <alignment horizontal="center"/>
    </xf>
    <xf numFmtId="10" fontId="26" fillId="0" borderId="0" xfId="32" applyNumberFormat="1" applyFont="1" applyBorder="1" applyAlignment="1" applyProtection="1">
      <alignment horizontal="left"/>
    </xf>
    <xf numFmtId="165" fontId="22" fillId="0" borderId="9" xfId="32" applyNumberFormat="1" applyFont="1" applyBorder="1" applyProtection="1"/>
    <xf numFmtId="165" fontId="21" fillId="0" borderId="8" xfId="32" applyNumberFormat="1" applyFont="1" applyBorder="1" applyAlignment="1">
      <alignment horizontal="left"/>
    </xf>
    <xf numFmtId="0" fontId="22" fillId="0" borderId="9" xfId="32" applyFont="1" applyBorder="1" applyAlignment="1">
      <alignment horizontal="center"/>
    </xf>
    <xf numFmtId="0" fontId="22" fillId="0" borderId="0" xfId="32" applyFont="1" applyBorder="1" applyAlignment="1">
      <alignment horizontal="center"/>
    </xf>
    <xf numFmtId="165" fontId="22" fillId="0" borderId="7" xfId="32" applyNumberFormat="1" applyFont="1" applyBorder="1" applyProtection="1"/>
    <xf numFmtId="165" fontId="22" fillId="0" borderId="10" xfId="32" applyNumberFormat="1" applyFont="1" applyBorder="1" applyAlignment="1">
      <alignment horizontal="left"/>
    </xf>
    <xf numFmtId="10" fontId="22" fillId="0" borderId="0" xfId="32" applyNumberFormat="1" applyFont="1" applyBorder="1"/>
    <xf numFmtId="0" fontId="21" fillId="0" borderId="0" xfId="32" quotePrefix="1" applyFont="1" applyBorder="1" applyAlignment="1" applyProtection="1">
      <alignment horizontal="left"/>
    </xf>
    <xf numFmtId="0" fontId="28" fillId="0" borderId="0" xfId="32" applyFont="1" applyBorder="1" applyAlignment="1" applyProtection="1">
      <alignment horizontal="left"/>
    </xf>
    <xf numFmtId="10" fontId="28" fillId="0" borderId="0" xfId="32" applyNumberFormat="1" applyFont="1" applyBorder="1" applyProtection="1"/>
    <xf numFmtId="0" fontId="28" fillId="0" borderId="0" xfId="32" applyFont="1" applyBorder="1"/>
    <xf numFmtId="0" fontId="21" fillId="0" borderId="0" xfId="32" applyFont="1"/>
    <xf numFmtId="0" fontId="21" fillId="0" borderId="0" xfId="32" quotePrefix="1" applyFont="1" applyAlignment="1">
      <alignment horizontal="left"/>
    </xf>
    <xf numFmtId="0" fontId="28" fillId="0" borderId="0" xfId="32" applyFont="1"/>
    <xf numFmtId="0" fontId="42" fillId="0" borderId="0" xfId="32" applyFont="1" applyBorder="1"/>
    <xf numFmtId="0" fontId="21" fillId="0" borderId="0" xfId="32" applyFont="1" applyBorder="1" applyAlignment="1" applyProtection="1">
      <alignment horizontal="left"/>
    </xf>
    <xf numFmtId="0" fontId="21" fillId="0" borderId="0" xfId="32" applyFont="1" applyBorder="1"/>
    <xf numFmtId="0" fontId="21" fillId="0" borderId="0" xfId="32" quotePrefix="1" applyFont="1" applyBorder="1" applyAlignment="1">
      <alignment horizontal="left"/>
    </xf>
    <xf numFmtId="0" fontId="29" fillId="0" borderId="0" xfId="32" applyFont="1" applyBorder="1"/>
    <xf numFmtId="0" fontId="21" fillId="0" borderId="0" xfId="32" applyFont="1" applyBorder="1" applyAlignment="1">
      <alignment horizontal="right"/>
    </xf>
    <xf numFmtId="0" fontId="21" fillId="0" borderId="0" xfId="32" applyFont="1" applyBorder="1" applyAlignment="1">
      <alignment horizontal="left"/>
    </xf>
    <xf numFmtId="0" fontId="21" fillId="0" borderId="0" xfId="32" applyFont="1" applyBorder="1" applyProtection="1"/>
    <xf numFmtId="0" fontId="21" fillId="0" borderId="0" xfId="32" applyFont="1" applyBorder="1" applyAlignment="1" applyProtection="1">
      <alignment horizontal="fill"/>
    </xf>
    <xf numFmtId="0" fontId="31" fillId="0" borderId="0" xfId="32" applyBorder="1"/>
    <xf numFmtId="0" fontId="31" fillId="0" borderId="0" xfId="32" applyBorder="1" applyAlignment="1">
      <alignment horizontal="centerContinuous"/>
    </xf>
    <xf numFmtId="0" fontId="91" fillId="0" borderId="0" xfId="32" applyFont="1" applyBorder="1" applyAlignment="1">
      <alignment horizontal="centerContinuous"/>
    </xf>
    <xf numFmtId="0" fontId="47" fillId="0" borderId="0" xfId="32" applyFont="1" applyBorder="1"/>
    <xf numFmtId="0" fontId="43" fillId="0" borderId="0" xfId="32" applyFont="1" applyBorder="1" applyAlignment="1" applyProtection="1">
      <alignment horizontal="centerContinuous"/>
    </xf>
    <xf numFmtId="0" fontId="47" fillId="0" borderId="0" xfId="32" applyFont="1" applyBorder="1" applyAlignment="1">
      <alignment horizontal="centerContinuous"/>
    </xf>
    <xf numFmtId="0" fontId="53" fillId="0" borderId="0" xfId="32" applyFont="1" applyBorder="1"/>
    <xf numFmtId="0" fontId="43" fillId="0" borderId="23" xfId="32" applyFont="1" applyBorder="1" applyAlignment="1" applyProtection="1">
      <alignment horizontal="center"/>
    </xf>
    <xf numFmtId="0" fontId="43" fillId="0" borderId="13" xfId="32" applyFont="1" applyBorder="1"/>
    <xf numFmtId="0" fontId="43" fillId="0" borderId="24" xfId="32" applyFont="1" applyBorder="1"/>
    <xf numFmtId="0" fontId="43" fillId="0" borderId="25" xfId="32" applyFont="1" applyBorder="1"/>
    <xf numFmtId="0" fontId="54" fillId="0" borderId="25" xfId="32" applyFont="1" applyBorder="1" applyAlignment="1">
      <alignment horizontal="center"/>
    </xf>
    <xf numFmtId="0" fontId="43" fillId="0" borderId="25" xfId="32" applyFont="1" applyBorder="1" applyAlignment="1" applyProtection="1">
      <alignment horizontal="center"/>
    </xf>
    <xf numFmtId="0" fontId="43" fillId="0" borderId="26" xfId="32" applyFont="1" applyBorder="1" applyAlignment="1" applyProtection="1">
      <alignment horizontal="center"/>
    </xf>
    <xf numFmtId="0" fontId="43" fillId="0" borderId="27" xfId="32" applyFont="1" applyBorder="1" applyAlignment="1" applyProtection="1">
      <alignment horizontal="center"/>
    </xf>
    <xf numFmtId="0" fontId="43" fillId="0" borderId="28" xfId="32" applyFont="1" applyBorder="1"/>
    <xf numFmtId="0" fontId="43" fillId="0" borderId="29" xfId="32" applyFont="1" applyBorder="1" applyAlignment="1" applyProtection="1">
      <alignment horizontal="centerContinuous"/>
    </xf>
    <xf numFmtId="0" fontId="43" fillId="0" borderId="28" xfId="32" applyFont="1" applyBorder="1" applyAlignment="1" applyProtection="1">
      <alignment horizontal="centerContinuous"/>
    </xf>
    <xf numFmtId="0" fontId="43" fillId="0" borderId="28" xfId="32" applyFont="1" applyBorder="1" applyAlignment="1">
      <alignment horizontal="centerContinuous"/>
    </xf>
    <xf numFmtId="0" fontId="31" fillId="0" borderId="28" xfId="32" applyBorder="1" applyAlignment="1">
      <alignment horizontal="centerContinuous"/>
    </xf>
    <xf numFmtId="0" fontId="43" fillId="0" borderId="30" xfId="32" applyFont="1" applyBorder="1" applyAlignment="1" applyProtection="1">
      <alignment horizontal="center"/>
    </xf>
    <xf numFmtId="0" fontId="43" fillId="0" borderId="31" xfId="32" applyFont="1" applyBorder="1" applyAlignment="1" applyProtection="1">
      <alignment horizontal="center"/>
    </xf>
    <xf numFmtId="0" fontId="55" fillId="0" borderId="0" xfId="32" applyFont="1" applyBorder="1"/>
    <xf numFmtId="0" fontId="47" fillId="0" borderId="32" xfId="32" applyFont="1" applyBorder="1"/>
    <xf numFmtId="0" fontId="47" fillId="0" borderId="33" xfId="32" applyFont="1" applyBorder="1"/>
    <xf numFmtId="0" fontId="47" fillId="0" borderId="34" xfId="32" applyFont="1" applyBorder="1"/>
    <xf numFmtId="0" fontId="47" fillId="0" borderId="34" xfId="32" applyFont="1" applyBorder="1" applyAlignment="1">
      <alignment horizontal="center"/>
    </xf>
    <xf numFmtId="0" fontId="47" fillId="0" borderId="35" xfId="32" applyFont="1" applyBorder="1"/>
    <xf numFmtId="0" fontId="56" fillId="0" borderId="0" xfId="32" quotePrefix="1" applyFont="1" applyBorder="1" applyAlignment="1" applyProtection="1">
      <alignment horizontal="right"/>
    </xf>
    <xf numFmtId="0" fontId="47" fillId="0" borderId="32" xfId="32" applyFont="1" applyBorder="1" applyAlignment="1" applyProtection="1">
      <alignment horizontal="center"/>
    </xf>
    <xf numFmtId="0" fontId="47" fillId="0" borderId="33" xfId="32" quotePrefix="1" applyFont="1" applyBorder="1" applyAlignment="1" applyProtection="1">
      <alignment horizontal="left"/>
    </xf>
    <xf numFmtId="0" fontId="47" fillId="0" borderId="0" xfId="32" applyFont="1" applyBorder="1" applyAlignment="1" applyProtection="1">
      <alignment horizontal="left"/>
    </xf>
    <xf numFmtId="0" fontId="47" fillId="0" borderId="34" xfId="32" applyFont="1" applyBorder="1" applyAlignment="1" applyProtection="1">
      <alignment horizontal="center"/>
    </xf>
    <xf numFmtId="0" fontId="47" fillId="0" borderId="35" xfId="32" applyFont="1" applyBorder="1" applyAlignment="1" applyProtection="1">
      <alignment horizontal="center"/>
    </xf>
    <xf numFmtId="0" fontId="43" fillId="6" borderId="32" xfId="32" applyFont="1" applyFill="1" applyBorder="1" applyAlignment="1" applyProtection="1">
      <alignment horizontal="center"/>
    </xf>
    <xf numFmtId="0" fontId="43" fillId="6" borderId="0" xfId="32" applyFont="1" applyFill="1" applyBorder="1"/>
    <xf numFmtId="0" fontId="43" fillId="6" borderId="33" xfId="32" applyFont="1" applyFill="1" applyBorder="1" applyAlignment="1" applyProtection="1">
      <alignment horizontal="left"/>
    </xf>
    <xf numFmtId="0" fontId="43" fillId="6" borderId="0" xfId="32" applyFont="1" applyFill="1" applyBorder="1" applyAlignment="1" applyProtection="1">
      <alignment horizontal="left"/>
    </xf>
    <xf numFmtId="0" fontId="43" fillId="6" borderId="34" xfId="32" applyFont="1" applyFill="1" applyBorder="1" applyAlignment="1" applyProtection="1">
      <alignment horizontal="center"/>
    </xf>
    <xf numFmtId="0" fontId="43" fillId="6" borderId="34" xfId="32" applyFont="1" applyFill="1" applyBorder="1" applyAlignment="1">
      <alignment horizontal="center"/>
    </xf>
    <xf numFmtId="0" fontId="43" fillId="6" borderId="35" xfId="32" applyFont="1" applyFill="1" applyBorder="1" applyAlignment="1" applyProtection="1">
      <alignment horizontal="center"/>
    </xf>
    <xf numFmtId="0" fontId="47" fillId="0" borderId="33" xfId="32" applyFont="1" applyBorder="1" applyAlignment="1" applyProtection="1">
      <alignment horizontal="left"/>
    </xf>
    <xf numFmtId="0" fontId="47" fillId="0" borderId="0" xfId="32" quotePrefix="1" applyFont="1" applyBorder="1" applyAlignment="1" applyProtection="1">
      <alignment horizontal="left"/>
    </xf>
    <xf numFmtId="0" fontId="56" fillId="0" borderId="0" xfId="32" applyFont="1" applyBorder="1" applyAlignment="1" applyProtection="1">
      <alignment horizontal="right"/>
    </xf>
    <xf numFmtId="0" fontId="47" fillId="6" borderId="0" xfId="32" applyFont="1" applyFill="1" applyBorder="1" applyAlignment="1" applyProtection="1">
      <alignment horizontal="left"/>
    </xf>
    <xf numFmtId="0" fontId="47" fillId="0" borderId="33" xfId="32" applyFont="1" applyBorder="1" applyAlignment="1" applyProtection="1">
      <alignment horizontal="left" wrapText="1"/>
    </xf>
    <xf numFmtId="0" fontId="43" fillId="0" borderId="0" xfId="32" applyFont="1" applyFill="1" applyBorder="1"/>
    <xf numFmtId="0" fontId="43" fillId="0" borderId="34" xfId="32" applyFont="1" applyFill="1" applyBorder="1" applyAlignment="1" applyProtection="1">
      <alignment horizontal="center"/>
    </xf>
    <xf numFmtId="0" fontId="43" fillId="0" borderId="34" xfId="32" applyFont="1" applyFill="1" applyBorder="1" applyAlignment="1">
      <alignment horizontal="center"/>
    </xf>
    <xf numFmtId="0" fontId="43" fillId="0" borderId="35" xfId="32" applyFont="1" applyFill="1" applyBorder="1" applyAlignment="1" applyProtection="1">
      <alignment horizontal="center"/>
    </xf>
    <xf numFmtId="0" fontId="47" fillId="0" borderId="36" xfId="32" applyFont="1" applyBorder="1" applyAlignment="1" applyProtection="1">
      <alignment horizontal="center"/>
    </xf>
    <xf numFmtId="0" fontId="47" fillId="0" borderId="3" xfId="32" applyFont="1" applyBorder="1"/>
    <xf numFmtId="0" fontId="47" fillId="0" borderId="37" xfId="32" applyFont="1" applyBorder="1" applyAlignment="1" applyProtection="1">
      <alignment horizontal="left"/>
    </xf>
    <xf numFmtId="0" fontId="43" fillId="0" borderId="0" xfId="32" applyFont="1" applyFill="1" applyBorder="1" applyAlignment="1" applyProtection="1">
      <alignment horizontal="left"/>
    </xf>
    <xf numFmtId="0" fontId="47" fillId="0" borderId="38" xfId="32" applyFont="1" applyBorder="1" applyAlignment="1" applyProtection="1">
      <alignment horizontal="center"/>
    </xf>
    <xf numFmtId="0" fontId="43" fillId="0" borderId="38" xfId="32" applyFont="1" applyBorder="1" applyAlignment="1" applyProtection="1">
      <alignment horizontal="center"/>
    </xf>
    <xf numFmtId="0" fontId="47" fillId="0" borderId="38" xfId="32" applyFont="1" applyBorder="1" applyAlignment="1">
      <alignment horizontal="center"/>
    </xf>
    <xf numFmtId="0" fontId="47" fillId="0" borderId="39" xfId="32" applyFont="1" applyBorder="1" applyAlignment="1" applyProtection="1">
      <alignment horizontal="center"/>
    </xf>
    <xf numFmtId="0" fontId="57" fillId="0" borderId="0" xfId="32" applyFont="1"/>
    <xf numFmtId="0" fontId="31" fillId="0" borderId="0" xfId="32"/>
    <xf numFmtId="0" fontId="56" fillId="0" borderId="0" xfId="32" applyFont="1" applyBorder="1"/>
    <xf numFmtId="0" fontId="58" fillId="0" borderId="0" xfId="32" applyFont="1" applyBorder="1"/>
    <xf numFmtId="0" fontId="43" fillId="6" borderId="21" xfId="32" applyFont="1" applyFill="1" applyBorder="1" applyAlignment="1" applyProtection="1">
      <alignment horizontal="centerContinuous"/>
    </xf>
    <xf numFmtId="0" fontId="43" fillId="6" borderId="11" xfId="32" applyFont="1" applyFill="1" applyBorder="1" applyAlignment="1">
      <alignment horizontal="centerContinuous"/>
    </xf>
    <xf numFmtId="0" fontId="43" fillId="6" borderId="9" xfId="32" applyFont="1" applyFill="1" applyBorder="1" applyAlignment="1">
      <alignment horizontal="centerContinuous"/>
    </xf>
    <xf numFmtId="0" fontId="59" fillId="6" borderId="4" xfId="32" applyFont="1" applyFill="1" applyBorder="1"/>
    <xf numFmtId="0" fontId="43" fillId="6" borderId="0" xfId="32" applyFont="1" applyFill="1" applyBorder="1" applyAlignment="1">
      <alignment horizontal="centerContinuous"/>
    </xf>
    <xf numFmtId="0" fontId="43" fillId="6" borderId="0" xfId="32" applyFont="1" applyFill="1" applyBorder="1" applyAlignment="1" applyProtection="1">
      <alignment horizontal="centerContinuous"/>
    </xf>
    <xf numFmtId="0" fontId="59" fillId="6" borderId="0" xfId="32" applyFont="1" applyFill="1" applyBorder="1" applyAlignment="1">
      <alignment horizontal="centerContinuous"/>
    </xf>
    <xf numFmtId="0" fontId="43" fillId="6" borderId="5" xfId="32" applyFont="1" applyFill="1" applyBorder="1" applyAlignment="1" applyProtection="1">
      <alignment horizontal="center"/>
    </xf>
    <xf numFmtId="0" fontId="60" fillId="6" borderId="4" xfId="32" quotePrefix="1" applyFont="1" applyFill="1" applyBorder="1" applyAlignment="1" applyProtection="1">
      <alignment horizontal="left"/>
    </xf>
    <xf numFmtId="0" fontId="60" fillId="6" borderId="0" xfId="32" applyFont="1" applyFill="1" applyBorder="1" applyAlignment="1">
      <alignment horizontal="centerContinuous"/>
    </xf>
    <xf numFmtId="0" fontId="60" fillId="6" borderId="0" xfId="32" applyFont="1" applyFill="1" applyBorder="1" applyAlignment="1" applyProtection="1">
      <alignment horizontal="centerContinuous"/>
    </xf>
    <xf numFmtId="0" fontId="60" fillId="6" borderId="5" xfId="32" applyFont="1" applyFill="1" applyBorder="1" applyAlignment="1" applyProtection="1">
      <alignment horizontal="center"/>
    </xf>
    <xf numFmtId="0" fontId="43" fillId="6" borderId="4" xfId="32" applyFont="1" applyFill="1" applyBorder="1" applyAlignment="1" applyProtection="1">
      <alignment horizontal="left"/>
    </xf>
    <xf numFmtId="10" fontId="43" fillId="6" borderId="5" xfId="32" applyNumberFormat="1" applyFont="1" applyFill="1" applyBorder="1" applyProtection="1"/>
    <xf numFmtId="0" fontId="43" fillId="6" borderId="4" xfId="32" applyFont="1" applyFill="1" applyBorder="1" applyAlignment="1" applyProtection="1">
      <alignment horizontal="centerContinuous"/>
    </xf>
    <xf numFmtId="0" fontId="43" fillId="6" borderId="6" xfId="32" applyFont="1" applyFill="1" applyBorder="1" applyAlignment="1" applyProtection="1">
      <alignment horizontal="centerContinuous"/>
    </xf>
    <xf numFmtId="0" fontId="43" fillId="6" borderId="3" xfId="32" applyFont="1" applyFill="1" applyBorder="1" applyAlignment="1">
      <alignment horizontal="centerContinuous"/>
    </xf>
    <xf numFmtId="0" fontId="43" fillId="6" borderId="3" xfId="32" applyFont="1" applyFill="1" applyBorder="1" applyAlignment="1" applyProtection="1">
      <alignment horizontal="centerContinuous"/>
    </xf>
    <xf numFmtId="0" fontId="59" fillId="6" borderId="3" xfId="32" applyFont="1" applyFill="1" applyBorder="1" applyAlignment="1">
      <alignment horizontal="centerContinuous"/>
    </xf>
    <xf numFmtId="10" fontId="43" fillId="6" borderId="7" xfId="32" applyNumberFormat="1" applyFont="1" applyFill="1" applyBorder="1" applyProtection="1"/>
    <xf numFmtId="0" fontId="56" fillId="0" borderId="3" xfId="32" applyFont="1" applyBorder="1"/>
    <xf numFmtId="0" fontId="58" fillId="0" borderId="3" xfId="32" applyFont="1" applyBorder="1"/>
    <xf numFmtId="0" fontId="61" fillId="0" borderId="0" xfId="32" applyFont="1" applyBorder="1"/>
    <xf numFmtId="0" fontId="62" fillId="0" borderId="0" xfId="32" applyFont="1" applyBorder="1"/>
    <xf numFmtId="0" fontId="47" fillId="0" borderId="0" xfId="32" quotePrefix="1" applyFont="1" applyBorder="1" applyAlignment="1">
      <alignment horizontal="left"/>
    </xf>
    <xf numFmtId="0" fontId="63" fillId="0" borderId="0" xfId="32" applyFont="1" applyBorder="1"/>
    <xf numFmtId="0" fontId="47" fillId="0" borderId="0" xfId="32" applyFont="1" applyBorder="1" applyAlignment="1">
      <alignment horizontal="left"/>
    </xf>
    <xf numFmtId="0" fontId="64" fillId="0" borderId="0" xfId="32" applyFont="1" applyBorder="1"/>
    <xf numFmtId="0" fontId="91" fillId="0" borderId="0" xfId="135" applyFont="1" applyBorder="1" applyAlignment="1">
      <alignment horizontal="centerContinuous"/>
    </xf>
    <xf numFmtId="0" fontId="92" fillId="0" borderId="0" xfId="135" applyFont="1" applyBorder="1"/>
    <xf numFmtId="0" fontId="91" fillId="0" borderId="0" xfId="135" applyFont="1" applyBorder="1" applyAlignment="1" applyProtection="1">
      <alignment horizontal="centerContinuous"/>
    </xf>
    <xf numFmtId="0" fontId="92" fillId="0" borderId="0" xfId="135" applyFont="1" applyBorder="1" applyAlignment="1">
      <alignment horizontal="centerContinuous"/>
    </xf>
    <xf numFmtId="0" fontId="93" fillId="0" borderId="0" xfId="135" applyFont="1" applyBorder="1" applyAlignment="1">
      <alignment horizontal="centerContinuous"/>
    </xf>
    <xf numFmtId="0" fontId="94" fillId="0" borderId="0" xfId="230" applyFont="1"/>
    <xf numFmtId="0" fontId="92" fillId="0" borderId="0" xfId="32" applyFont="1" applyBorder="1"/>
    <xf numFmtId="0" fontId="91" fillId="0" borderId="0" xfId="32" applyFont="1" applyBorder="1" applyAlignment="1" applyProtection="1">
      <alignment horizontal="centerContinuous"/>
    </xf>
    <xf numFmtId="0" fontId="92" fillId="0" borderId="0" xfId="32" applyFont="1" applyBorder="1" applyAlignment="1">
      <alignment horizontal="centerContinuous"/>
    </xf>
    <xf numFmtId="0" fontId="93" fillId="0" borderId="0" xfId="32" applyFont="1" applyBorder="1" applyAlignment="1">
      <alignment horizontal="centerContinuous"/>
    </xf>
    <xf numFmtId="7" fontId="95" fillId="0" borderId="19" xfId="134" applyNumberFormat="1" applyFont="1" applyFill="1" applyBorder="1" applyProtection="1">
      <protection locked="0"/>
    </xf>
    <xf numFmtId="0" fontId="70" fillId="0" borderId="0" xfId="32" applyFont="1" applyBorder="1" applyAlignment="1" applyProtection="1">
      <alignment horizontal="centerContinuous"/>
    </xf>
    <xf numFmtId="0" fontId="70" fillId="0" borderId="0" xfId="32" applyFont="1" applyBorder="1" applyAlignment="1">
      <alignment horizontal="centerContinuous"/>
    </xf>
    <xf numFmtId="0" fontId="71" fillId="0" borderId="0" xfId="32" applyFont="1" applyBorder="1" applyAlignment="1">
      <alignment horizontal="centerContinuous"/>
    </xf>
    <xf numFmtId="0" fontId="96" fillId="0" borderId="0" xfId="0" applyFont="1" applyFill="1" applyAlignment="1" applyProtection="1">
      <alignment vertical="top" wrapText="1"/>
      <protection locked="0"/>
    </xf>
    <xf numFmtId="0" fontId="97" fillId="0" borderId="0" xfId="0" applyFont="1" applyFill="1" applyAlignment="1" applyProtection="1">
      <alignment vertical="top" wrapText="1"/>
      <protection locked="0"/>
    </xf>
    <xf numFmtId="0" fontId="97" fillId="0" borderId="0" xfId="0" applyFont="1" applyFill="1" applyAlignment="1" applyProtection="1">
      <alignment vertical="top"/>
      <protection locked="0"/>
    </xf>
    <xf numFmtId="0" fontId="97" fillId="0" borderId="22" xfId="0" applyFont="1" applyBorder="1"/>
    <xf numFmtId="14" fontId="97" fillId="0" borderId="0" xfId="0" applyNumberFormat="1" applyFont="1" applyAlignment="1">
      <alignment vertical="top"/>
    </xf>
    <xf numFmtId="170" fontId="96" fillId="0" borderId="0" xfId="0" applyNumberFormat="1" applyFont="1" applyFill="1" applyBorder="1" applyAlignment="1" applyProtection="1">
      <alignment vertical="top"/>
      <protection locked="0"/>
    </xf>
    <xf numFmtId="165" fontId="96" fillId="0" borderId="0" xfId="0" applyNumberFormat="1" applyFont="1" applyFill="1" applyBorder="1" applyAlignment="1" applyProtection="1">
      <alignment vertical="top"/>
      <protection locked="0"/>
    </xf>
    <xf numFmtId="0" fontId="96" fillId="0" borderId="0" xfId="0" applyFont="1" applyFill="1" applyBorder="1" applyAlignment="1" applyProtection="1">
      <alignment vertical="top"/>
      <protection locked="0"/>
    </xf>
    <xf numFmtId="0" fontId="97" fillId="0" borderId="0" xfId="140" applyFont="1"/>
    <xf numFmtId="0" fontId="97" fillId="0" borderId="4" xfId="0" applyFont="1" applyFill="1" applyBorder="1" applyAlignment="1" applyProtection="1">
      <alignment horizontal="left" vertical="top"/>
      <protection locked="0"/>
    </xf>
    <xf numFmtId="0" fontId="97" fillId="0" borderId="0" xfId="0" applyFont="1" applyFill="1" applyBorder="1" applyAlignment="1" applyProtection="1">
      <alignment vertical="top"/>
      <protection locked="0"/>
    </xf>
    <xf numFmtId="0" fontId="97" fillId="0" borderId="0" xfId="0" applyFont="1" applyAlignment="1">
      <alignment vertical="top"/>
    </xf>
    <xf numFmtId="165" fontId="97" fillId="0" borderId="0" xfId="0" applyNumberFormat="1" applyFont="1" applyFill="1" applyBorder="1" applyAlignment="1" applyProtection="1">
      <alignment vertical="top"/>
      <protection locked="0"/>
    </xf>
    <xf numFmtId="41" fontId="97" fillId="0" borderId="0" xfId="0" applyNumberFormat="1" applyFont="1" applyFill="1" applyBorder="1" applyAlignment="1" applyProtection="1">
      <alignment vertical="top"/>
      <protection locked="0"/>
    </xf>
    <xf numFmtId="14" fontId="97" fillId="0" borderId="0" xfId="0" applyNumberFormat="1" applyFont="1" applyFill="1" applyBorder="1" applyAlignment="1" applyProtection="1">
      <alignment vertical="top"/>
    </xf>
    <xf numFmtId="0" fontId="96" fillId="15" borderId="0" xfId="140" applyFont="1" applyFill="1"/>
    <xf numFmtId="38" fontId="98" fillId="15" borderId="0" xfId="140" applyNumberFormat="1" applyFont="1" applyFill="1"/>
    <xf numFmtId="165" fontId="98" fillId="15" borderId="0" xfId="140" applyNumberFormat="1" applyFont="1" applyFill="1"/>
    <xf numFmtId="165" fontId="96" fillId="15" borderId="0" xfId="140" applyNumberFormat="1" applyFont="1" applyFill="1"/>
    <xf numFmtId="38" fontId="97" fillId="0" borderId="3" xfId="140" applyNumberFormat="1" applyFont="1" applyBorder="1"/>
    <xf numFmtId="0" fontId="97" fillId="0" borderId="3" xfId="140" applyFont="1" applyBorder="1"/>
    <xf numFmtId="3" fontId="97" fillId="0" borderId="3" xfId="140" quotePrefix="1" applyNumberFormat="1" applyFont="1" applyBorder="1" applyAlignment="1">
      <alignment horizontal="center"/>
    </xf>
    <xf numFmtId="0" fontId="97" fillId="0" borderId="3" xfId="140" applyFont="1" applyBorder="1" applyAlignment="1">
      <alignment horizontal="center"/>
    </xf>
    <xf numFmtId="3" fontId="97" fillId="0" borderId="3" xfId="140" applyNumberFormat="1" applyFont="1" applyBorder="1"/>
    <xf numFmtId="3" fontId="97" fillId="0" borderId="3" xfId="140" applyNumberFormat="1" applyFont="1" applyBorder="1" applyAlignment="1">
      <alignment horizontal="center"/>
    </xf>
    <xf numFmtId="0" fontId="97" fillId="0" borderId="0" xfId="140" quotePrefix="1" applyFont="1"/>
    <xf numFmtId="38" fontId="97" fillId="0" borderId="0" xfId="140" applyNumberFormat="1" applyFont="1" applyBorder="1" applyAlignment="1">
      <alignment horizontal="right"/>
    </xf>
    <xf numFmtId="0" fontId="97" fillId="0" borderId="0" xfId="140" applyFont="1" applyAlignment="1">
      <alignment horizontal="center"/>
    </xf>
    <xf numFmtId="2" fontId="97" fillId="0" borderId="0" xfId="140" applyNumberFormat="1" applyFont="1"/>
    <xf numFmtId="4" fontId="97" fillId="0" borderId="0" xfId="140" applyNumberFormat="1" applyFont="1" applyAlignment="1">
      <alignment horizontal="center"/>
    </xf>
    <xf numFmtId="0" fontId="97" fillId="0" borderId="22" xfId="140" applyFont="1" applyBorder="1"/>
    <xf numFmtId="0" fontId="97" fillId="0" borderId="13" xfId="140" applyFont="1" applyBorder="1"/>
    <xf numFmtId="0" fontId="97" fillId="0" borderId="19" xfId="140" applyFont="1" applyBorder="1"/>
    <xf numFmtId="165" fontId="97" fillId="0" borderId="0" xfId="140" applyNumberFormat="1" applyFont="1"/>
    <xf numFmtId="0" fontId="97" fillId="0" borderId="4" xfId="140" applyFont="1" applyBorder="1" applyAlignment="1">
      <alignment horizontal="centerContinuous" vertical="center"/>
    </xf>
    <xf numFmtId="0" fontId="97" fillId="0" borderId="0" xfId="140" applyFont="1" applyBorder="1" applyAlignment="1">
      <alignment horizontal="centerContinuous" vertical="center"/>
    </xf>
    <xf numFmtId="0" fontId="97" fillId="0" borderId="5" xfId="140" applyFont="1" applyBorder="1" applyAlignment="1">
      <alignment horizontal="centerContinuous" vertical="center"/>
    </xf>
    <xf numFmtId="38" fontId="97" fillId="0" borderId="0" xfId="140" applyNumberFormat="1" applyFont="1"/>
    <xf numFmtId="0" fontId="96" fillId="0" borderId="0" xfId="140" applyFont="1" applyAlignment="1">
      <alignment horizontal="center"/>
    </xf>
    <xf numFmtId="165" fontId="97" fillId="0" borderId="0" xfId="140" applyNumberFormat="1" applyFont="1" applyAlignment="1">
      <alignment horizontal="center"/>
    </xf>
    <xf numFmtId="0" fontId="97" fillId="0" borderId="0" xfId="140" quotePrefix="1" applyFont="1" applyAlignment="1">
      <alignment horizontal="center"/>
    </xf>
    <xf numFmtId="38" fontId="99" fillId="0" borderId="0" xfId="140" applyNumberFormat="1" applyFont="1" applyBorder="1" applyAlignment="1"/>
    <xf numFmtId="0" fontId="97" fillId="0" borderId="4" xfId="140" applyFont="1" applyBorder="1"/>
    <xf numFmtId="0" fontId="97" fillId="0" borderId="0" xfId="140" applyFont="1" applyBorder="1"/>
    <xf numFmtId="38" fontId="97" fillId="0" borderId="0" xfId="140" applyNumberFormat="1" applyFont="1" applyBorder="1"/>
    <xf numFmtId="0" fontId="97" fillId="0" borderId="5" xfId="140" applyFont="1" applyBorder="1"/>
    <xf numFmtId="38" fontId="97" fillId="0" borderId="0" xfId="140" applyNumberFormat="1" applyFont="1" applyAlignment="1"/>
    <xf numFmtId="0" fontId="97" fillId="0" borderId="6" xfId="140" applyFont="1" applyBorder="1"/>
    <xf numFmtId="0" fontId="97" fillId="0" borderId="7" xfId="140" applyFont="1" applyBorder="1"/>
    <xf numFmtId="0" fontId="100" fillId="0" borderId="0" xfId="140" applyFont="1"/>
    <xf numFmtId="0" fontId="101" fillId="7" borderId="0" xfId="140" applyFont="1" applyFill="1"/>
    <xf numFmtId="0" fontId="101" fillId="7" borderId="0" xfId="140" applyFont="1" applyFill="1" applyAlignment="1">
      <alignment horizontal="center"/>
    </xf>
    <xf numFmtId="38" fontId="101" fillId="7" borderId="0" xfId="140" applyNumberFormat="1" applyFont="1" applyFill="1" applyAlignment="1"/>
    <xf numFmtId="0" fontId="97" fillId="0" borderId="0" xfId="140" applyFont="1" applyBorder="1" applyAlignment="1">
      <alignment horizontal="center"/>
    </xf>
    <xf numFmtId="166" fontId="97" fillId="0" borderId="0" xfId="140" applyNumberFormat="1" applyFont="1"/>
    <xf numFmtId="3" fontId="97" fillId="0" borderId="0" xfId="140" applyNumberFormat="1" applyFont="1" applyAlignment="1">
      <alignment horizontal="center"/>
    </xf>
    <xf numFmtId="0" fontId="97" fillId="0" borderId="0" xfId="0" applyFont="1"/>
    <xf numFmtId="38" fontId="97" fillId="0" borderId="0" xfId="140" applyNumberFormat="1" applyFont="1" applyBorder="1" applyAlignment="1">
      <alignment horizontal="center"/>
    </xf>
    <xf numFmtId="0" fontId="97" fillId="0" borderId="0" xfId="140" quotePrefix="1" applyFont="1" applyBorder="1" applyAlignment="1">
      <alignment horizontal="center"/>
    </xf>
    <xf numFmtId="38" fontId="97" fillId="0" borderId="4" xfId="140" applyNumberFormat="1" applyFont="1" applyBorder="1" applyAlignment="1">
      <alignment horizontal="center"/>
    </xf>
    <xf numFmtId="3" fontId="97" fillId="0" borderId="0" xfId="140" applyNumberFormat="1" applyFont="1" applyBorder="1" applyAlignment="1">
      <alignment horizontal="center"/>
    </xf>
    <xf numFmtId="0" fontId="97" fillId="0" borderId="0" xfId="140" quotePrefix="1" applyFont="1" applyBorder="1"/>
    <xf numFmtId="38" fontId="97" fillId="0" borderId="5" xfId="140" applyNumberFormat="1" applyFont="1" applyBorder="1"/>
    <xf numFmtId="3" fontId="97" fillId="0" borderId="0" xfId="140" applyNumberFormat="1" applyFont="1"/>
    <xf numFmtId="0" fontId="102" fillId="0" borderId="0" xfId="10" applyFont="1" applyAlignment="1" applyProtection="1">
      <alignment horizontal="left"/>
    </xf>
    <xf numFmtId="0" fontId="102" fillId="0" borderId="0" xfId="10" applyFont="1" applyAlignment="1" applyProtection="1"/>
    <xf numFmtId="0" fontId="97" fillId="0" borderId="13" xfId="0" applyFont="1" applyBorder="1"/>
    <xf numFmtId="14" fontId="96" fillId="0" borderId="0" xfId="0" applyNumberFormat="1" applyFont="1" applyFill="1" applyAlignment="1" applyProtection="1">
      <alignment horizontal="left" vertical="top"/>
      <protection locked="0"/>
    </xf>
    <xf numFmtId="164" fontId="96" fillId="0" borderId="22" xfId="0" applyNumberFormat="1" applyFont="1" applyFill="1" applyBorder="1" applyAlignment="1" applyProtection="1">
      <alignment vertical="top"/>
      <protection locked="0"/>
    </xf>
    <xf numFmtId="164" fontId="96" fillId="0" borderId="13" xfId="0" applyNumberFormat="1" applyFont="1" applyFill="1" applyBorder="1" applyAlignment="1" applyProtection="1">
      <alignment vertical="top"/>
      <protection locked="0"/>
    </xf>
    <xf numFmtId="165" fontId="96" fillId="0" borderId="13" xfId="0" applyNumberFormat="1" applyFont="1" applyFill="1" applyBorder="1" applyAlignment="1" applyProtection="1">
      <alignment vertical="top"/>
      <protection locked="0"/>
    </xf>
    <xf numFmtId="164" fontId="96" fillId="0" borderId="0" xfId="0" applyNumberFormat="1" applyFont="1" applyFill="1" applyBorder="1" applyAlignment="1" applyProtection="1">
      <alignment vertical="top"/>
      <protection locked="0"/>
    </xf>
    <xf numFmtId="164" fontId="96" fillId="0" borderId="4" xfId="0" applyNumberFormat="1" applyFont="1" applyFill="1" applyBorder="1" applyAlignment="1" applyProtection="1">
      <alignment vertical="top"/>
      <protection locked="0"/>
    </xf>
    <xf numFmtId="4" fontId="97" fillId="0" borderId="0" xfId="225" applyNumberFormat="1" applyFont="1" applyFill="1" applyBorder="1" applyAlignment="1" applyProtection="1">
      <alignment vertical="top"/>
      <protection locked="0"/>
    </xf>
    <xf numFmtId="2" fontId="97" fillId="0" borderId="0" xfId="225" applyNumberFormat="1" applyFont="1" applyFill="1" applyBorder="1" applyAlignment="1" applyProtection="1">
      <alignment vertical="top"/>
      <protection locked="0"/>
    </xf>
    <xf numFmtId="10" fontId="97" fillId="0" borderId="0" xfId="225" applyNumberFormat="1" applyFont="1" applyFill="1" applyBorder="1" applyAlignment="1" applyProtection="1">
      <alignment horizontal="center" vertical="top"/>
      <protection locked="0"/>
    </xf>
    <xf numFmtId="0" fontId="97" fillId="0" borderId="0" xfId="0" applyFont="1" applyFill="1" applyBorder="1" applyAlignment="1" applyProtection="1">
      <alignment horizontal="right" vertical="top"/>
      <protection locked="0"/>
    </xf>
    <xf numFmtId="0" fontId="96" fillId="0" borderId="0" xfId="0" applyFont="1" applyFill="1" applyBorder="1" applyAlignment="1" applyProtection="1">
      <alignment horizontal="right" vertical="top"/>
      <protection locked="0"/>
    </xf>
    <xf numFmtId="41" fontId="97" fillId="0" borderId="40" xfId="0" applyNumberFormat="1" applyFont="1" applyFill="1" applyBorder="1" applyAlignment="1" applyProtection="1">
      <alignment vertical="top"/>
    </xf>
    <xf numFmtId="41" fontId="97" fillId="0" borderId="41" xfId="0" applyNumberFormat="1" applyFont="1" applyFill="1" applyBorder="1" applyAlignment="1" applyProtection="1">
      <alignment vertical="top"/>
    </xf>
    <xf numFmtId="41" fontId="97" fillId="0" borderId="0" xfId="0" applyNumberFormat="1" applyFont="1" applyFill="1" applyBorder="1" applyAlignment="1" applyProtection="1">
      <alignment vertical="top"/>
    </xf>
    <xf numFmtId="41" fontId="97" fillId="0" borderId="42" xfId="0" applyNumberFormat="1" applyFont="1" applyFill="1" applyBorder="1" applyAlignment="1" applyProtection="1">
      <alignment vertical="top"/>
    </xf>
    <xf numFmtId="0" fontId="96" fillId="0" borderId="6" xfId="0" applyFont="1" applyFill="1" applyBorder="1" applyAlignment="1" applyProtection="1">
      <alignment horizontal="left" vertical="top"/>
      <protection locked="0"/>
    </xf>
    <xf numFmtId="4" fontId="97" fillId="0" borderId="3" xfId="0" applyNumberFormat="1" applyFont="1" applyFill="1" applyBorder="1" applyAlignment="1" applyProtection="1">
      <alignment horizontal="right" vertical="top"/>
      <protection locked="0"/>
    </xf>
    <xf numFmtId="2" fontId="97" fillId="0" borderId="3" xfId="0" applyNumberFormat="1" applyFont="1" applyFill="1" applyBorder="1" applyAlignment="1" applyProtection="1">
      <alignment horizontal="right" vertical="top"/>
      <protection locked="0"/>
    </xf>
    <xf numFmtId="10" fontId="97" fillId="0" borderId="3" xfId="0" applyNumberFormat="1" applyFont="1" applyFill="1" applyBorder="1" applyAlignment="1" applyProtection="1">
      <alignment horizontal="center" vertical="top"/>
      <protection locked="0"/>
    </xf>
    <xf numFmtId="0" fontId="103" fillId="0" borderId="3" xfId="0" applyFont="1" applyFill="1" applyBorder="1" applyAlignment="1" applyProtection="1">
      <alignment horizontal="right" vertical="top"/>
      <protection locked="0"/>
    </xf>
    <xf numFmtId="165" fontId="97" fillId="0" borderId="3" xfId="0" applyNumberFormat="1" applyFont="1" applyFill="1" applyBorder="1" applyAlignment="1" applyProtection="1">
      <alignment horizontal="right" vertical="top"/>
      <protection locked="0"/>
    </xf>
    <xf numFmtId="0" fontId="97" fillId="0" borderId="22" xfId="0" applyFont="1" applyFill="1" applyBorder="1" applyAlignment="1" applyProtection="1">
      <alignment horizontal="left" vertical="top"/>
      <protection locked="0"/>
    </xf>
    <xf numFmtId="4" fontId="97" fillId="0" borderId="13" xfId="225" applyNumberFormat="1" applyFont="1" applyFill="1" applyBorder="1" applyAlignment="1" applyProtection="1">
      <alignment vertical="top"/>
      <protection locked="0"/>
    </xf>
    <xf numFmtId="2" fontId="97" fillId="0" borderId="13" xfId="225" applyNumberFormat="1" applyFont="1" applyFill="1" applyBorder="1" applyAlignment="1" applyProtection="1">
      <alignment vertical="top"/>
      <protection locked="0"/>
    </xf>
    <xf numFmtId="10" fontId="97" fillId="0" borderId="13" xfId="225" applyNumberFormat="1" applyFont="1" applyFill="1" applyBorder="1" applyAlignment="1" applyProtection="1">
      <alignment horizontal="center" vertical="top"/>
      <protection locked="0"/>
    </xf>
    <xf numFmtId="0" fontId="97" fillId="0" borderId="13" xfId="0" applyFont="1" applyFill="1" applyBorder="1" applyAlignment="1" applyProtection="1">
      <alignment horizontal="right" vertical="top"/>
      <protection locked="0"/>
    </xf>
    <xf numFmtId="0" fontId="96" fillId="0" borderId="13" xfId="0" applyFont="1" applyFill="1" applyBorder="1" applyAlignment="1" applyProtection="1">
      <alignment horizontal="right" vertical="top"/>
      <protection locked="0"/>
    </xf>
    <xf numFmtId="0" fontId="97" fillId="0" borderId="6" xfId="0" applyFont="1" applyFill="1" applyBorder="1" applyAlignment="1" applyProtection="1">
      <alignment horizontal="left" vertical="top"/>
      <protection locked="0"/>
    </xf>
    <xf numFmtId="4" fontId="97" fillId="0" borderId="0" xfId="0" applyNumberFormat="1" applyFont="1" applyFill="1" applyBorder="1" applyAlignment="1" applyProtection="1">
      <alignment vertical="top"/>
      <protection locked="0"/>
    </xf>
    <xf numFmtId="2" fontId="97" fillId="0" borderId="0" xfId="0" applyNumberFormat="1" applyFont="1" applyFill="1" applyBorder="1" applyAlignment="1" applyProtection="1">
      <alignment vertical="top"/>
      <protection locked="0"/>
    </xf>
    <xf numFmtId="10" fontId="97" fillId="0" borderId="0" xfId="0" applyNumberFormat="1" applyFont="1" applyFill="1" applyBorder="1" applyAlignment="1" applyProtection="1">
      <alignment horizontal="center" vertical="top"/>
      <protection locked="0"/>
    </xf>
    <xf numFmtId="4" fontId="97" fillId="0" borderId="13" xfId="0" applyNumberFormat="1" applyFont="1" applyFill="1" applyBorder="1" applyAlignment="1" applyProtection="1">
      <alignment horizontal="right" vertical="top"/>
      <protection locked="0"/>
    </xf>
    <xf numFmtId="2" fontId="97" fillId="0" borderId="13" xfId="0" applyNumberFormat="1" applyFont="1" applyFill="1" applyBorder="1" applyAlignment="1" applyProtection="1">
      <alignment horizontal="right" vertical="top"/>
      <protection locked="0"/>
    </xf>
    <xf numFmtId="10" fontId="97" fillId="0" borderId="13" xfId="0" applyNumberFormat="1" applyFont="1" applyFill="1" applyBorder="1" applyAlignment="1" applyProtection="1">
      <alignment horizontal="center" vertical="top"/>
      <protection locked="0"/>
    </xf>
    <xf numFmtId="0" fontId="104" fillId="0" borderId="0" xfId="0" applyFont="1" applyFill="1" applyBorder="1" applyAlignment="1" applyProtection="1">
      <alignment horizontal="right" vertical="top"/>
      <protection locked="0"/>
    </xf>
    <xf numFmtId="41" fontId="97" fillId="0" borderId="4" xfId="0" applyNumberFormat="1" applyFont="1" applyFill="1" applyBorder="1" applyAlignment="1" applyProtection="1">
      <alignment vertical="top"/>
    </xf>
    <xf numFmtId="41" fontId="97" fillId="0" borderId="5" xfId="0" applyNumberFormat="1" applyFont="1" applyFill="1" applyBorder="1" applyAlignment="1" applyProtection="1">
      <alignment vertical="top"/>
    </xf>
    <xf numFmtId="0" fontId="97" fillId="0" borderId="4" xfId="0" applyFont="1" applyFill="1" applyBorder="1" applyAlignment="1" applyProtection="1">
      <alignment horizontal="right" vertical="top"/>
      <protection locked="0"/>
    </xf>
    <xf numFmtId="4" fontId="97" fillId="0" borderId="0" xfId="0" applyNumberFormat="1" applyFont="1" applyFill="1" applyBorder="1" applyAlignment="1" applyProtection="1">
      <alignment horizontal="right" vertical="top"/>
      <protection locked="0"/>
    </xf>
    <xf numFmtId="2" fontId="97" fillId="0" borderId="0" xfId="0" applyNumberFormat="1" applyFont="1" applyFill="1" applyBorder="1" applyAlignment="1" applyProtection="1">
      <alignment horizontal="right" vertical="top"/>
      <protection locked="0"/>
    </xf>
    <xf numFmtId="0" fontId="103" fillId="0" borderId="0" xfId="0" applyFont="1" applyFill="1" applyBorder="1" applyAlignment="1" applyProtection="1">
      <alignment horizontal="right" vertical="top"/>
      <protection locked="0"/>
    </xf>
    <xf numFmtId="165" fontId="97" fillId="0" borderId="0" xfId="0" applyNumberFormat="1" applyFont="1" applyFill="1" applyBorder="1" applyAlignment="1" applyProtection="1">
      <alignment horizontal="right" vertical="top"/>
      <protection locked="0"/>
    </xf>
    <xf numFmtId="0" fontId="97" fillId="0" borderId="22" xfId="0" applyFont="1" applyFill="1" applyBorder="1" applyAlignment="1" applyProtection="1">
      <alignment vertical="top"/>
      <protection locked="0"/>
    </xf>
    <xf numFmtId="0" fontId="97" fillId="0" borderId="13" xfId="0" applyFont="1" applyFill="1" applyBorder="1" applyAlignment="1" applyProtection="1">
      <alignment vertical="top"/>
      <protection locked="0"/>
    </xf>
    <xf numFmtId="0" fontId="96" fillId="0" borderId="19" xfId="0" applyFont="1" applyFill="1" applyBorder="1" applyAlignment="1" applyProtection="1">
      <alignment horizontal="right" vertical="top"/>
      <protection locked="0"/>
    </xf>
    <xf numFmtId="41" fontId="97" fillId="0" borderId="43" xfId="0" applyNumberFormat="1" applyFont="1" applyFill="1" applyBorder="1" applyAlignment="1" applyProtection="1">
      <alignment vertical="top"/>
    </xf>
    <xf numFmtId="0" fontId="97" fillId="0" borderId="4" xfId="0" applyFont="1" applyFill="1" applyBorder="1" applyAlignment="1" applyProtection="1">
      <alignment vertical="top"/>
      <protection locked="0"/>
    </xf>
    <xf numFmtId="168" fontId="97" fillId="0" borderId="0" xfId="23" applyNumberFormat="1" applyFont="1" applyFill="1" applyBorder="1" applyAlignment="1" applyProtection="1">
      <alignment vertical="top"/>
      <protection locked="0"/>
    </xf>
    <xf numFmtId="0" fontId="97" fillId="0" borderId="0" xfId="23" applyFont="1" applyFill="1" applyBorder="1" applyAlignment="1" applyProtection="1">
      <alignment vertical="top"/>
      <protection locked="0"/>
    </xf>
    <xf numFmtId="41" fontId="97" fillId="0" borderId="44" xfId="0" applyNumberFormat="1" applyFont="1" applyFill="1" applyBorder="1" applyAlignment="1" applyProtection="1">
      <alignment vertical="top"/>
    </xf>
    <xf numFmtId="0" fontId="97" fillId="0" borderId="6" xfId="0" applyFont="1" applyFill="1" applyBorder="1" applyAlignment="1" applyProtection="1">
      <alignment vertical="top"/>
      <protection locked="0"/>
    </xf>
    <xf numFmtId="168" fontId="97" fillId="0" borderId="3" xfId="0" applyNumberFormat="1" applyFont="1" applyFill="1" applyBorder="1" applyAlignment="1" applyProtection="1">
      <alignment vertical="top"/>
      <protection locked="0"/>
    </xf>
    <xf numFmtId="0" fontId="97" fillId="0" borderId="3" xfId="0" applyFont="1" applyFill="1" applyBorder="1" applyAlignment="1" applyProtection="1">
      <alignment vertical="top"/>
      <protection locked="0"/>
    </xf>
    <xf numFmtId="168" fontId="97" fillId="0" borderId="13" xfId="23" applyNumberFormat="1" applyFont="1" applyFill="1" applyBorder="1" applyAlignment="1" applyProtection="1">
      <alignment vertical="top"/>
      <protection locked="0"/>
    </xf>
    <xf numFmtId="0" fontId="97" fillId="0" borderId="13" xfId="23" applyFont="1" applyFill="1" applyBorder="1" applyAlignment="1" applyProtection="1">
      <alignment vertical="top"/>
      <protection locked="0"/>
    </xf>
    <xf numFmtId="41" fontId="97" fillId="0" borderId="10" xfId="0" applyNumberFormat="1" applyFont="1" applyFill="1" applyBorder="1" applyAlignment="1" applyProtection="1">
      <alignment vertical="top"/>
    </xf>
    <xf numFmtId="41" fontId="97" fillId="0" borderId="3" xfId="0" applyNumberFormat="1" applyFont="1" applyFill="1" applyBorder="1" applyAlignment="1" applyProtection="1">
      <alignment vertical="top"/>
    </xf>
    <xf numFmtId="0" fontId="96" fillId="0" borderId="4" xfId="0" applyFont="1" applyFill="1" applyBorder="1" applyAlignment="1" applyProtection="1">
      <alignment vertical="top"/>
      <protection locked="0"/>
    </xf>
    <xf numFmtId="41" fontId="97" fillId="11" borderId="22" xfId="0" applyNumberFormat="1" applyFont="1" applyFill="1" applyBorder="1" applyAlignment="1" applyProtection="1">
      <alignment vertical="top"/>
    </xf>
    <xf numFmtId="41" fontId="97" fillId="11" borderId="14" xfId="0" applyNumberFormat="1" applyFont="1" applyFill="1" applyBorder="1" applyAlignment="1" applyProtection="1">
      <alignment vertical="top"/>
    </xf>
    <xf numFmtId="41" fontId="97" fillId="0" borderId="40" xfId="0" applyNumberFormat="1" applyFont="1" applyFill="1" applyBorder="1" applyAlignment="1" applyProtection="1">
      <alignment vertical="top"/>
      <protection locked="0"/>
    </xf>
    <xf numFmtId="41" fontId="97" fillId="0" borderId="10" xfId="0" applyNumberFormat="1" applyFont="1" applyFill="1" applyBorder="1" applyAlignment="1" applyProtection="1">
      <alignment vertical="top"/>
      <protection locked="0"/>
    </xf>
    <xf numFmtId="41" fontId="97" fillId="0" borderId="42" xfId="0" applyNumberFormat="1" applyFont="1" applyFill="1" applyBorder="1" applyAlignment="1" applyProtection="1">
      <alignment vertical="top"/>
      <protection locked="0"/>
    </xf>
    <xf numFmtId="41" fontId="97" fillId="11" borderId="45" xfId="0" applyNumberFormat="1" applyFont="1" applyFill="1" applyBorder="1" applyAlignment="1" applyProtection="1">
      <alignment vertical="top"/>
    </xf>
    <xf numFmtId="0" fontId="105" fillId="16" borderId="46" xfId="0" applyFont="1" applyFill="1" applyBorder="1" applyAlignment="1" applyProtection="1">
      <alignment vertical="top"/>
      <protection locked="0"/>
    </xf>
    <xf numFmtId="0" fontId="105" fillId="16" borderId="47" xfId="0" applyFont="1" applyFill="1" applyBorder="1" applyAlignment="1" applyProtection="1">
      <alignment horizontal="center" vertical="top"/>
      <protection locked="0"/>
    </xf>
    <xf numFmtId="0" fontId="97" fillId="16" borderId="47" xfId="0" applyFont="1" applyFill="1" applyBorder="1" applyAlignment="1" applyProtection="1">
      <alignment vertical="top"/>
      <protection locked="0"/>
    </xf>
    <xf numFmtId="41" fontId="97" fillId="16" borderId="46" xfId="0" applyNumberFormat="1" applyFont="1" applyFill="1" applyBorder="1" applyAlignment="1" applyProtection="1">
      <alignment vertical="top"/>
      <protection locked="0"/>
    </xf>
    <xf numFmtId="41" fontId="97" fillId="16" borderId="47" xfId="0" applyNumberFormat="1" applyFont="1" applyFill="1" applyBorder="1" applyAlignment="1" applyProtection="1">
      <alignment vertical="top"/>
      <protection locked="0"/>
    </xf>
    <xf numFmtId="41" fontId="97" fillId="16" borderId="48" xfId="0" applyNumberFormat="1" applyFont="1" applyFill="1" applyBorder="1" applyAlignment="1" applyProtection="1">
      <alignment vertical="top"/>
    </xf>
    <xf numFmtId="3" fontId="97" fillId="0" borderId="0" xfId="0" applyNumberFormat="1" applyFont="1" applyFill="1" applyBorder="1" applyAlignment="1" applyProtection="1">
      <alignment vertical="top"/>
      <protection locked="0"/>
    </xf>
    <xf numFmtId="0" fontId="105" fillId="16" borderId="21" xfId="0" applyFont="1" applyFill="1" applyBorder="1" applyAlignment="1" applyProtection="1">
      <alignment vertical="top"/>
      <protection locked="0"/>
    </xf>
    <xf numFmtId="0" fontId="105" fillId="16" borderId="11" xfId="0" applyFont="1" applyFill="1" applyBorder="1" applyAlignment="1" applyProtection="1">
      <alignment horizontal="center" vertical="top"/>
      <protection locked="0"/>
    </xf>
    <xf numFmtId="0" fontId="97" fillId="16" borderId="11" xfId="0" applyFont="1" applyFill="1" applyBorder="1" applyAlignment="1" applyProtection="1">
      <alignment vertical="top"/>
      <protection locked="0"/>
    </xf>
    <xf numFmtId="41" fontId="97" fillId="16" borderId="21" xfId="0" applyNumberFormat="1" applyFont="1" applyFill="1" applyBorder="1" applyAlignment="1" applyProtection="1">
      <alignment vertical="top"/>
    </xf>
    <xf numFmtId="41" fontId="97" fillId="16" borderId="11" xfId="0" applyNumberFormat="1" applyFont="1" applyFill="1" applyBorder="1" applyAlignment="1" applyProtection="1">
      <alignment vertical="top"/>
    </xf>
    <xf numFmtId="41" fontId="97" fillId="16" borderId="8" xfId="0" applyNumberFormat="1" applyFont="1" applyFill="1" applyBorder="1" applyAlignment="1" applyProtection="1">
      <alignment vertical="top"/>
    </xf>
    <xf numFmtId="0" fontId="97" fillId="0" borderId="2" xfId="0" applyFont="1" applyFill="1" applyBorder="1" applyAlignment="1" applyProtection="1">
      <alignment vertical="top"/>
      <protection locked="0"/>
    </xf>
    <xf numFmtId="0" fontId="103" fillId="0" borderId="4" xfId="0" applyFont="1" applyFill="1" applyBorder="1" applyAlignment="1" applyProtection="1">
      <alignment vertical="top"/>
      <protection locked="0"/>
    </xf>
    <xf numFmtId="41" fontId="97" fillId="0" borderId="4" xfId="0" applyNumberFormat="1" applyFont="1" applyFill="1" applyBorder="1" applyAlignment="1" applyProtection="1">
      <alignment vertical="top"/>
      <protection locked="0"/>
    </xf>
    <xf numFmtId="41" fontId="97" fillId="0" borderId="21" xfId="0" applyNumberFormat="1" applyFont="1" applyFill="1" applyBorder="1" applyAlignment="1" applyProtection="1">
      <alignment vertical="top"/>
    </xf>
    <xf numFmtId="41" fontId="97" fillId="0" borderId="8" xfId="0" applyNumberFormat="1" applyFont="1" applyFill="1" applyBorder="1" applyAlignment="1" applyProtection="1">
      <alignment vertical="top"/>
    </xf>
    <xf numFmtId="0" fontId="103" fillId="0" borderId="0" xfId="0" applyFont="1" applyFill="1" applyBorder="1" applyAlignment="1" applyProtection="1">
      <alignment vertical="top"/>
      <protection locked="0"/>
    </xf>
    <xf numFmtId="41" fontId="96" fillId="0" borderId="4" xfId="0" applyNumberFormat="1" applyFont="1" applyFill="1" applyBorder="1" applyAlignment="1" applyProtection="1">
      <alignment vertical="top"/>
    </xf>
    <xf numFmtId="41" fontId="96" fillId="0" borderId="42" xfId="0" applyNumberFormat="1" applyFont="1" applyFill="1" applyBorder="1" applyAlignment="1" applyProtection="1">
      <alignment vertical="top"/>
    </xf>
    <xf numFmtId="0" fontId="96" fillId="0" borderId="22" xfId="0" applyFont="1" applyFill="1" applyBorder="1" applyAlignment="1" applyProtection="1">
      <alignment vertical="top" wrapText="1"/>
      <protection locked="0"/>
    </xf>
    <xf numFmtId="41" fontId="96" fillId="0" borderId="21" xfId="0" applyNumberFormat="1" applyFont="1" applyFill="1" applyBorder="1" applyAlignment="1" applyProtection="1">
      <alignment vertical="top"/>
    </xf>
    <xf numFmtId="41" fontId="96" fillId="0" borderId="8" xfId="0" applyNumberFormat="1" applyFont="1" applyFill="1" applyBorder="1" applyAlignment="1" applyProtection="1">
      <alignment vertical="top"/>
    </xf>
    <xf numFmtId="41" fontId="96" fillId="0" borderId="45" xfId="0" applyNumberFormat="1" applyFont="1" applyFill="1" applyBorder="1" applyAlignment="1" applyProtection="1">
      <alignment vertical="top"/>
    </xf>
    <xf numFmtId="41" fontId="96" fillId="0" borderId="0" xfId="0" applyNumberFormat="1" applyFont="1" applyFill="1" applyBorder="1" applyAlignment="1" applyProtection="1">
      <alignment vertical="top"/>
    </xf>
    <xf numFmtId="41" fontId="97" fillId="0" borderId="6" xfId="0" applyNumberFormat="1" applyFont="1" applyFill="1" applyBorder="1" applyAlignment="1" applyProtection="1">
      <alignment vertical="top"/>
    </xf>
    <xf numFmtId="0" fontId="96" fillId="0" borderId="21" xfId="0" applyFont="1" applyFill="1" applyBorder="1" applyAlignment="1" applyProtection="1">
      <alignment vertical="top"/>
      <protection locked="0"/>
    </xf>
    <xf numFmtId="0" fontId="96" fillId="0" borderId="11" xfId="0" applyFont="1" applyFill="1" applyBorder="1" applyAlignment="1" applyProtection="1">
      <alignment horizontal="center" vertical="top"/>
      <protection locked="0"/>
    </xf>
    <xf numFmtId="0" fontId="103" fillId="0" borderId="11" xfId="0" applyFont="1" applyFill="1" applyBorder="1" applyAlignment="1" applyProtection="1">
      <alignment horizontal="right" vertical="top"/>
      <protection locked="0"/>
    </xf>
    <xf numFmtId="165" fontId="96" fillId="0" borderId="11" xfId="0" applyNumberFormat="1" applyFont="1" applyFill="1" applyBorder="1" applyAlignment="1" applyProtection="1">
      <alignment horizontal="right" vertical="top"/>
      <protection locked="0"/>
    </xf>
    <xf numFmtId="0" fontId="96" fillId="0" borderId="0" xfId="0" applyFont="1" applyFill="1" applyAlignment="1" applyProtection="1">
      <alignment vertical="top"/>
      <protection locked="0"/>
    </xf>
    <xf numFmtId="0" fontId="96" fillId="0" borderId="49" xfId="0" applyFont="1" applyFill="1" applyBorder="1" applyAlignment="1" applyProtection="1">
      <alignment vertical="top"/>
      <protection locked="0"/>
    </xf>
    <xf numFmtId="0" fontId="96" fillId="0" borderId="50" xfId="0" applyFont="1" applyFill="1" applyBorder="1" applyAlignment="1" applyProtection="1">
      <alignment vertical="top"/>
      <protection locked="0"/>
    </xf>
    <xf numFmtId="0" fontId="97" fillId="0" borderId="50" xfId="131" applyFont="1" applyFill="1" applyBorder="1" applyAlignment="1" applyProtection="1">
      <alignment vertical="top"/>
      <protection locked="0"/>
    </xf>
    <xf numFmtId="41" fontId="97" fillId="0" borderId="49" xfId="0" applyNumberFormat="1" applyFont="1" applyFill="1" applyBorder="1" applyAlignment="1" applyProtection="1">
      <alignment vertical="top"/>
    </xf>
    <xf numFmtId="41" fontId="97" fillId="0" borderId="45" xfId="0" applyNumberFormat="1" applyFont="1" applyFill="1" applyBorder="1" applyAlignment="1" applyProtection="1">
      <alignment vertical="top"/>
    </xf>
    <xf numFmtId="41" fontId="96" fillId="0" borderId="4" xfId="0" applyNumberFormat="1" applyFont="1" applyFill="1" applyBorder="1" applyAlignment="1" applyProtection="1">
      <alignment horizontal="center" vertical="top"/>
      <protection locked="0"/>
    </xf>
    <xf numFmtId="41" fontId="96" fillId="0" borderId="5" xfId="0" applyNumberFormat="1" applyFont="1" applyFill="1" applyBorder="1" applyAlignment="1" applyProtection="1">
      <alignment horizontal="center" vertical="top"/>
      <protection locked="0"/>
    </xf>
    <xf numFmtId="41" fontId="97" fillId="0" borderId="3" xfId="0" applyNumberFormat="1" applyFont="1" applyFill="1" applyBorder="1" applyAlignment="1" applyProtection="1">
      <alignment horizontal="center" vertical="top"/>
      <protection locked="0"/>
    </xf>
    <xf numFmtId="41" fontId="97" fillId="0" borderId="7" xfId="0" applyNumberFormat="1" applyFont="1" applyFill="1" applyBorder="1" applyAlignment="1" applyProtection="1">
      <alignment horizontal="center" vertical="top"/>
      <protection locked="0"/>
    </xf>
    <xf numFmtId="169" fontId="96" fillId="0" borderId="6" xfId="0" applyNumberFormat="1" applyFont="1" applyFill="1" applyBorder="1" applyAlignment="1" applyProtection="1">
      <alignment horizontal="center" vertical="top"/>
      <protection locked="0"/>
    </xf>
    <xf numFmtId="169" fontId="96" fillId="0" borderId="7" xfId="0" applyNumberFormat="1" applyFont="1" applyFill="1" applyBorder="1" applyAlignment="1" applyProtection="1">
      <alignment horizontal="center" vertical="top"/>
      <protection locked="0"/>
    </xf>
    <xf numFmtId="41" fontId="96" fillId="0" borderId="8" xfId="0" applyNumberFormat="1" applyFont="1" applyFill="1" applyBorder="1" applyAlignment="1" applyProtection="1">
      <alignment horizontal="center" vertical="top"/>
      <protection locked="0"/>
    </xf>
    <xf numFmtId="0" fontId="97" fillId="0" borderId="5" xfId="0" applyFont="1" applyFill="1" applyBorder="1" applyAlignment="1" applyProtection="1">
      <alignment horizontal="right" vertical="top"/>
      <protection locked="0"/>
    </xf>
    <xf numFmtId="41" fontId="97" fillId="0" borderId="14" xfId="0" applyNumberFormat="1" applyFont="1" applyFill="1" applyBorder="1" applyAlignment="1" applyProtection="1">
      <alignment vertical="top"/>
    </xf>
    <xf numFmtId="0" fontId="96" fillId="0" borderId="0" xfId="0" applyFont="1" applyAlignment="1">
      <alignment vertical="top"/>
    </xf>
    <xf numFmtId="0" fontId="96" fillId="0" borderId="5" xfId="0" applyFont="1" applyFill="1" applyBorder="1" applyAlignment="1" applyProtection="1">
      <alignment horizontal="right" vertical="top"/>
      <protection locked="0"/>
    </xf>
    <xf numFmtId="0" fontId="96" fillId="0" borderId="7" xfId="0" applyFont="1" applyFill="1" applyBorder="1" applyAlignment="1" applyProtection="1">
      <alignment horizontal="right" vertical="top"/>
      <protection locked="0"/>
    </xf>
    <xf numFmtId="0" fontId="97" fillId="0" borderId="0" xfId="0" quotePrefix="1" applyFont="1" applyFill="1" applyBorder="1" applyAlignment="1" applyProtection="1">
      <alignment horizontal="left" vertical="top"/>
      <protection locked="0"/>
    </xf>
    <xf numFmtId="0" fontId="97" fillId="0" borderId="0" xfId="0" applyFont="1" applyFill="1" applyBorder="1" applyAlignment="1" applyProtection="1">
      <alignment horizontal="left" vertical="top"/>
      <protection locked="0"/>
    </xf>
    <xf numFmtId="10" fontId="97" fillId="0" borderId="0" xfId="0" applyNumberFormat="1" applyFont="1" applyFill="1" applyBorder="1" applyAlignment="1" applyProtection="1">
      <alignment vertical="top"/>
      <protection locked="0"/>
    </xf>
    <xf numFmtId="41" fontId="98" fillId="0" borderId="0" xfId="0" applyNumberFormat="1" applyFont="1" applyFill="1" applyBorder="1" applyAlignment="1" applyProtection="1">
      <alignment vertical="top"/>
      <protection locked="0"/>
    </xf>
    <xf numFmtId="0" fontId="97" fillId="0" borderId="41" xfId="0" applyFont="1" applyFill="1" applyBorder="1" applyAlignment="1" applyProtection="1">
      <alignment horizontal="center" vertical="top"/>
      <protection locked="0"/>
    </xf>
    <xf numFmtId="0" fontId="97" fillId="0" borderId="0" xfId="0" applyFont="1" applyFill="1" applyBorder="1" applyAlignment="1" applyProtection="1">
      <alignment vertical="top"/>
    </xf>
    <xf numFmtId="0" fontId="97" fillId="0" borderId="41" xfId="0" applyFont="1" applyFill="1" applyBorder="1" applyAlignment="1" applyProtection="1">
      <alignment horizontal="center" vertical="top"/>
    </xf>
    <xf numFmtId="0" fontId="97" fillId="0" borderId="3" xfId="0" applyFont="1" applyFill="1" applyBorder="1" applyAlignment="1" applyProtection="1">
      <alignment horizontal="center" vertical="top"/>
    </xf>
    <xf numFmtId="0" fontId="97" fillId="0" borderId="51" xfId="0" applyFont="1" applyFill="1" applyBorder="1" applyAlignment="1" applyProtection="1">
      <alignment horizontal="center" vertical="top"/>
      <protection locked="0"/>
    </xf>
    <xf numFmtId="41" fontId="97" fillId="0" borderId="48" xfId="0" applyNumberFormat="1" applyFont="1" applyFill="1" applyBorder="1" applyAlignment="1" applyProtection="1">
      <alignment horizontal="center" vertical="top"/>
      <protection locked="0"/>
    </xf>
    <xf numFmtId="169" fontId="97" fillId="0" borderId="0" xfId="0" applyNumberFormat="1" applyFont="1" applyFill="1" applyBorder="1" applyAlignment="1" applyProtection="1">
      <alignment vertical="top"/>
    </xf>
    <xf numFmtId="41" fontId="97" fillId="0" borderId="3" xfId="0" applyNumberFormat="1" applyFont="1" applyFill="1" applyBorder="1" applyAlignment="1" applyProtection="1">
      <alignment vertical="top"/>
      <protection locked="0"/>
    </xf>
    <xf numFmtId="0" fontId="97" fillId="0" borderId="3" xfId="0" applyFont="1" applyFill="1" applyBorder="1" applyAlignment="1" applyProtection="1">
      <alignment vertical="top"/>
    </xf>
    <xf numFmtId="0" fontId="97" fillId="0" borderId="41" xfId="0" applyFont="1" applyFill="1" applyBorder="1" applyAlignment="1" applyProtection="1">
      <alignment vertical="top"/>
    </xf>
    <xf numFmtId="41" fontId="97" fillId="0" borderId="10" xfId="0" applyNumberFormat="1" applyFont="1" applyFill="1" applyBorder="1" applyAlignment="1" applyProtection="1">
      <alignment horizontal="center" vertical="top"/>
    </xf>
    <xf numFmtId="169" fontId="97" fillId="0" borderId="0" xfId="0" applyNumberFormat="1" applyFont="1" applyFill="1" applyBorder="1" applyAlignment="1" applyProtection="1">
      <alignment vertical="top"/>
      <protection locked="0"/>
    </xf>
    <xf numFmtId="14" fontId="97" fillId="0" borderId="0" xfId="0" applyNumberFormat="1" applyFont="1" applyFill="1" applyBorder="1" applyAlignment="1" applyProtection="1">
      <alignment vertical="top"/>
      <protection locked="0"/>
    </xf>
    <xf numFmtId="0" fontId="97" fillId="0" borderId="3" xfId="0" applyFont="1" applyFill="1" applyBorder="1" applyAlignment="1" applyProtection="1">
      <alignment horizontal="center" vertical="top"/>
      <protection locked="0"/>
    </xf>
    <xf numFmtId="41" fontId="97" fillId="0" borderId="10" xfId="0" applyNumberFormat="1" applyFont="1" applyFill="1" applyBorder="1" applyAlignment="1" applyProtection="1">
      <alignment horizontal="center" vertical="top"/>
      <protection locked="0"/>
    </xf>
    <xf numFmtId="165" fontId="97" fillId="0" borderId="0" xfId="0" applyNumberFormat="1" applyFont="1" applyFill="1" applyBorder="1" applyAlignment="1" applyProtection="1">
      <alignment vertical="top"/>
    </xf>
    <xf numFmtId="41" fontId="97" fillId="0" borderId="5" xfId="0" applyNumberFormat="1" applyFont="1" applyFill="1" applyBorder="1" applyAlignment="1" applyProtection="1">
      <alignment vertical="top"/>
      <protection locked="0"/>
    </xf>
    <xf numFmtId="165" fontId="97" fillId="0" borderId="3" xfId="0" applyNumberFormat="1" applyFont="1" applyFill="1" applyBorder="1" applyAlignment="1" applyProtection="1">
      <alignment vertical="top"/>
      <protection locked="0"/>
    </xf>
    <xf numFmtId="41" fontId="97" fillId="0" borderId="7" xfId="0" applyNumberFormat="1" applyFont="1" applyFill="1" applyBorder="1" applyAlignment="1" applyProtection="1">
      <alignment vertical="top"/>
    </xf>
    <xf numFmtId="0" fontId="106" fillId="0" borderId="0" xfId="140" applyFont="1" applyAlignment="1">
      <alignment wrapText="1"/>
    </xf>
    <xf numFmtId="0" fontId="106" fillId="0" borderId="0" xfId="140" applyFont="1" applyAlignment="1">
      <alignment horizontal="center" vertical="center" wrapText="1"/>
    </xf>
    <xf numFmtId="3" fontId="96" fillId="0" borderId="0" xfId="140" applyNumberFormat="1" applyFont="1" applyFill="1" applyBorder="1" applyAlignment="1">
      <alignment horizontal="center"/>
    </xf>
    <xf numFmtId="0" fontId="106" fillId="0" borderId="0" xfId="140" applyFont="1" applyAlignment="1">
      <alignment horizontal="center" wrapText="1"/>
    </xf>
    <xf numFmtId="0" fontId="107" fillId="0" borderId="0" xfId="140" applyFont="1"/>
    <xf numFmtId="0" fontId="106" fillId="0" borderId="0" xfId="140" applyFont="1" applyBorder="1" applyAlignment="1">
      <alignment horizontal="center" vertical="center" wrapText="1"/>
    </xf>
    <xf numFmtId="0" fontId="106" fillId="0" borderId="4" xfId="140" applyFont="1" applyBorder="1" applyAlignment="1">
      <alignment horizontal="center" vertical="center" wrapText="1"/>
    </xf>
    <xf numFmtId="0" fontId="106" fillId="0" borderId="5" xfId="140" applyFont="1" applyBorder="1" applyAlignment="1">
      <alignment horizontal="center" vertical="center" wrapText="1"/>
    </xf>
    <xf numFmtId="0" fontId="98" fillId="0" borderId="0" xfId="140" applyFont="1"/>
    <xf numFmtId="0" fontId="99" fillId="0" borderId="4" xfId="0" applyFont="1" applyFill="1" applyBorder="1" applyAlignment="1" applyProtection="1">
      <alignment horizontal="left" vertical="top"/>
      <protection locked="0"/>
    </xf>
    <xf numFmtId="4" fontId="98" fillId="0" borderId="0" xfId="0" applyNumberFormat="1" applyFont="1" applyFill="1" applyBorder="1" applyAlignment="1" applyProtection="1">
      <alignment horizontal="left" vertical="top"/>
      <protection locked="0"/>
    </xf>
    <xf numFmtId="0" fontId="96" fillId="17" borderId="49" xfId="0" applyFont="1" applyFill="1" applyBorder="1" applyAlignment="1" applyProtection="1">
      <alignment vertical="top"/>
      <protection locked="0"/>
    </xf>
    <xf numFmtId="0" fontId="96" fillId="17" borderId="50" xfId="0" applyFont="1" applyFill="1" applyBorder="1" applyAlignment="1" applyProtection="1">
      <alignment horizontal="center" vertical="top"/>
      <protection locked="0"/>
    </xf>
    <xf numFmtId="0" fontId="103" fillId="17" borderId="50" xfId="0" applyFont="1" applyFill="1" applyBorder="1" applyAlignment="1" applyProtection="1">
      <alignment horizontal="right" vertical="top"/>
      <protection locked="0"/>
    </xf>
    <xf numFmtId="165" fontId="96" fillId="17" borderId="50" xfId="0" applyNumberFormat="1" applyFont="1" applyFill="1" applyBorder="1" applyAlignment="1" applyProtection="1">
      <alignment horizontal="right" vertical="top"/>
      <protection locked="0"/>
    </xf>
    <xf numFmtId="41" fontId="97" fillId="17" borderId="2" xfId="0" applyNumberFormat="1" applyFont="1" applyFill="1" applyBorder="1" applyAlignment="1" applyProtection="1">
      <alignment vertical="top"/>
      <protection locked="0"/>
    </xf>
    <xf numFmtId="41" fontId="97" fillId="17" borderId="52" xfId="0" applyNumberFormat="1" applyFont="1" applyFill="1" applyBorder="1" applyAlignment="1" applyProtection="1">
      <alignment vertical="top"/>
      <protection locked="0"/>
    </xf>
    <xf numFmtId="14" fontId="96" fillId="17" borderId="8" xfId="0" applyNumberFormat="1" applyFont="1" applyFill="1" applyBorder="1" applyAlignment="1" applyProtection="1">
      <alignment horizontal="center" vertical="top"/>
      <protection locked="0"/>
    </xf>
    <xf numFmtId="14" fontId="96" fillId="17" borderId="11" xfId="0" applyNumberFormat="1" applyFont="1" applyFill="1" applyBorder="1" applyAlignment="1" applyProtection="1">
      <alignment horizontal="center" vertical="top"/>
      <protection locked="0"/>
    </xf>
    <xf numFmtId="170" fontId="96" fillId="17" borderId="8" xfId="0" applyNumberFormat="1" applyFont="1" applyFill="1" applyBorder="1" applyAlignment="1" applyProtection="1">
      <alignment horizontal="center" vertical="top"/>
      <protection locked="0"/>
    </xf>
    <xf numFmtId="0" fontId="96" fillId="17" borderId="53" xfId="0" applyFont="1" applyFill="1" applyBorder="1" applyAlignment="1" applyProtection="1">
      <alignment vertical="top"/>
      <protection locked="0"/>
    </xf>
    <xf numFmtId="0" fontId="96" fillId="17" borderId="54" xfId="0" applyFont="1" applyFill="1" applyBorder="1" applyAlignment="1" applyProtection="1">
      <alignment horizontal="center" vertical="top"/>
      <protection locked="0"/>
    </xf>
    <xf numFmtId="0" fontId="103" fillId="17" borderId="54" xfId="0" applyFont="1" applyFill="1" applyBorder="1" applyAlignment="1" applyProtection="1">
      <alignment horizontal="right" vertical="top"/>
      <protection locked="0"/>
    </xf>
    <xf numFmtId="165" fontId="96" fillId="17" borderId="54" xfId="0" applyNumberFormat="1" applyFont="1" applyFill="1" applyBorder="1" applyAlignment="1" applyProtection="1">
      <alignment horizontal="right" vertical="top"/>
      <protection locked="0"/>
    </xf>
    <xf numFmtId="41" fontId="97" fillId="17" borderId="54" xfId="0" applyNumberFormat="1" applyFont="1" applyFill="1" applyBorder="1" applyAlignment="1" applyProtection="1">
      <alignment vertical="top"/>
    </xf>
    <xf numFmtId="41" fontId="97" fillId="17" borderId="55" xfId="0" applyNumberFormat="1" applyFont="1" applyFill="1" applyBorder="1" applyAlignment="1" applyProtection="1">
      <alignment vertical="top"/>
      <protection locked="0"/>
    </xf>
    <xf numFmtId="41" fontId="97" fillId="17" borderId="54" xfId="0" applyNumberFormat="1" applyFont="1" applyFill="1" applyBorder="1" applyAlignment="1" applyProtection="1">
      <alignment vertical="top"/>
      <protection locked="0"/>
    </xf>
    <xf numFmtId="41" fontId="97" fillId="17" borderId="55" xfId="0" applyNumberFormat="1" applyFont="1" applyFill="1" applyBorder="1" applyAlignment="1" applyProtection="1">
      <alignment vertical="top"/>
    </xf>
    <xf numFmtId="173" fontId="96" fillId="18" borderId="42" xfId="0" applyNumberFormat="1" applyFont="1" applyFill="1" applyBorder="1" applyAlignment="1" applyProtection="1">
      <alignment horizontal="center" vertical="top"/>
      <protection locked="0"/>
    </xf>
    <xf numFmtId="173" fontId="96" fillId="18" borderId="0" xfId="0" applyNumberFormat="1" applyFont="1" applyFill="1" applyBorder="1" applyAlignment="1" applyProtection="1">
      <alignment horizontal="center" vertical="top"/>
      <protection locked="0"/>
    </xf>
    <xf numFmtId="173" fontId="96" fillId="18" borderId="10" xfId="0" applyNumberFormat="1" applyFont="1" applyFill="1" applyBorder="1" applyAlignment="1" applyProtection="1">
      <alignment horizontal="center" vertical="top"/>
      <protection locked="0"/>
    </xf>
    <xf numFmtId="173" fontId="96" fillId="18" borderId="3" xfId="0" applyNumberFormat="1" applyFont="1" applyFill="1" applyBorder="1" applyAlignment="1" applyProtection="1">
      <alignment horizontal="center" vertical="top"/>
      <protection locked="0"/>
    </xf>
    <xf numFmtId="41" fontId="97" fillId="18" borderId="22" xfId="0" applyNumberFormat="1" applyFont="1" applyFill="1" applyBorder="1" applyAlignment="1" applyProtection="1">
      <alignment vertical="top"/>
    </xf>
    <xf numFmtId="41" fontId="97" fillId="18" borderId="14" xfId="0" applyNumberFormat="1" applyFont="1" applyFill="1" applyBorder="1" applyAlignment="1" applyProtection="1">
      <alignment vertical="top"/>
    </xf>
    <xf numFmtId="41" fontId="97" fillId="18" borderId="13" xfId="0" applyNumberFormat="1" applyFont="1" applyFill="1" applyBorder="1" applyAlignment="1" applyProtection="1">
      <alignment vertical="top"/>
    </xf>
    <xf numFmtId="41" fontId="97" fillId="18" borderId="4" xfId="0" applyNumberFormat="1" applyFont="1" applyFill="1" applyBorder="1" applyAlignment="1" applyProtection="1">
      <alignment vertical="top"/>
    </xf>
    <xf numFmtId="41" fontId="97" fillId="18" borderId="42" xfId="0" applyNumberFormat="1" applyFont="1" applyFill="1" applyBorder="1" applyAlignment="1" applyProtection="1">
      <alignment vertical="top"/>
    </xf>
    <xf numFmtId="41" fontId="97" fillId="18" borderId="0" xfId="0" applyNumberFormat="1" applyFont="1" applyFill="1" applyBorder="1" applyAlignment="1" applyProtection="1">
      <alignment vertical="top"/>
    </xf>
    <xf numFmtId="41" fontId="97" fillId="18" borderId="56" xfId="0" applyNumberFormat="1" applyFont="1" applyFill="1" applyBorder="1" applyAlignment="1" applyProtection="1">
      <alignment vertical="top"/>
    </xf>
    <xf numFmtId="41" fontId="97" fillId="18" borderId="43" xfId="0" applyNumberFormat="1" applyFont="1" applyFill="1" applyBorder="1" applyAlignment="1" applyProtection="1">
      <alignment vertical="top"/>
    </xf>
    <xf numFmtId="41" fontId="97" fillId="18" borderId="2" xfId="0" applyNumberFormat="1" applyFont="1" applyFill="1" applyBorder="1" applyAlignment="1" applyProtection="1">
      <alignment vertical="top"/>
    </xf>
    <xf numFmtId="41" fontId="97" fillId="18" borderId="45" xfId="0" applyNumberFormat="1" applyFont="1" applyFill="1" applyBorder="1" applyAlignment="1" applyProtection="1">
      <alignment vertical="top"/>
    </xf>
    <xf numFmtId="41" fontId="97" fillId="18" borderId="21" xfId="0" applyNumberFormat="1" applyFont="1" applyFill="1" applyBorder="1" applyAlignment="1" applyProtection="1">
      <alignment vertical="top"/>
    </xf>
    <xf numFmtId="0" fontId="96" fillId="19" borderId="22" xfId="0" applyFont="1" applyFill="1" applyBorder="1" applyAlignment="1" applyProtection="1">
      <alignment vertical="top" wrapText="1"/>
      <protection locked="0"/>
    </xf>
    <xf numFmtId="0" fontId="105" fillId="19" borderId="11" xfId="0" applyFont="1" applyFill="1" applyBorder="1" applyAlignment="1" applyProtection="1">
      <alignment vertical="top" wrapText="1"/>
      <protection locked="0"/>
    </xf>
    <xf numFmtId="41" fontId="96" fillId="19" borderId="21" xfId="0" applyNumberFormat="1" applyFont="1" applyFill="1" applyBorder="1" applyAlignment="1" applyProtection="1">
      <alignment vertical="top"/>
    </xf>
    <xf numFmtId="41" fontId="96" fillId="19" borderId="8" xfId="0" applyNumberFormat="1" applyFont="1" applyFill="1" applyBorder="1" applyAlignment="1" applyProtection="1">
      <alignment vertical="top"/>
    </xf>
    <xf numFmtId="41" fontId="97" fillId="19" borderId="21" xfId="0" applyNumberFormat="1" applyFont="1" applyFill="1" applyBorder="1" applyAlignment="1" applyProtection="1">
      <alignment vertical="top"/>
    </xf>
    <xf numFmtId="41" fontId="97" fillId="19" borderId="8" xfId="0" applyNumberFormat="1" applyFont="1" applyFill="1" applyBorder="1" applyAlignment="1" applyProtection="1">
      <alignment vertical="top"/>
    </xf>
    <xf numFmtId="41" fontId="96" fillId="20" borderId="14" xfId="0" applyNumberFormat="1" applyFont="1" applyFill="1" applyBorder="1" applyAlignment="1" applyProtection="1">
      <alignment vertical="top"/>
    </xf>
    <xf numFmtId="41" fontId="96" fillId="20" borderId="22" xfId="0" applyNumberFormat="1" applyFont="1" applyFill="1" applyBorder="1" applyAlignment="1" applyProtection="1">
      <alignment vertical="top"/>
    </xf>
    <xf numFmtId="41" fontId="96" fillId="20" borderId="8" xfId="0" applyNumberFormat="1" applyFont="1" applyFill="1" applyBorder="1" applyAlignment="1" applyProtection="1">
      <alignment vertical="top"/>
    </xf>
    <xf numFmtId="175" fontId="96" fillId="0" borderId="7" xfId="0" applyNumberFormat="1" applyFont="1" applyFill="1" applyBorder="1" applyAlignment="1" applyProtection="1">
      <alignment horizontal="center" vertical="top"/>
      <protection locked="0"/>
    </xf>
    <xf numFmtId="41" fontId="97" fillId="19" borderId="3" xfId="0" applyNumberFormat="1" applyFont="1" applyFill="1" applyBorder="1" applyAlignment="1" applyProtection="1">
      <alignment horizontal="center" vertical="top"/>
      <protection locked="0"/>
    </xf>
    <xf numFmtId="41" fontId="97" fillId="19" borderId="7" xfId="0" applyNumberFormat="1" applyFont="1" applyFill="1" applyBorder="1" applyAlignment="1" applyProtection="1">
      <alignment horizontal="center" vertical="top"/>
      <protection locked="0"/>
    </xf>
    <xf numFmtId="41" fontId="96" fillId="17" borderId="8" xfId="0" applyNumberFormat="1" applyFont="1" applyFill="1" applyBorder="1" applyAlignment="1" applyProtection="1">
      <alignment horizontal="center" vertical="top"/>
      <protection locked="0"/>
    </xf>
    <xf numFmtId="14" fontId="96" fillId="21" borderId="42" xfId="0" applyNumberFormat="1" applyFont="1" applyFill="1" applyBorder="1" applyAlignment="1" applyProtection="1">
      <alignment horizontal="center" vertical="top"/>
      <protection locked="0"/>
    </xf>
    <xf numFmtId="41" fontId="97" fillId="21" borderId="45" xfId="0" applyNumberFormat="1" applyFont="1" applyFill="1" applyBorder="1" applyAlignment="1" applyProtection="1">
      <alignment vertical="top"/>
    </xf>
    <xf numFmtId="0" fontId="3" fillId="17" borderId="54" xfId="9" applyFill="1" applyBorder="1" applyAlignment="1" applyProtection="1">
      <alignment horizontal="left" vertical="top"/>
      <protection locked="0"/>
    </xf>
    <xf numFmtId="43" fontId="85" fillId="0" borderId="0" xfId="4" applyFont="1"/>
    <xf numFmtId="0" fontId="6" fillId="0" borderId="57" xfId="0" applyFont="1" applyBorder="1" applyProtection="1"/>
    <xf numFmtId="0" fontId="6" fillId="0" borderId="47" xfId="0" applyFont="1" applyBorder="1" applyProtection="1"/>
    <xf numFmtId="0" fontId="6" fillId="0" borderId="58" xfId="0" applyFont="1" applyBorder="1" applyProtection="1"/>
    <xf numFmtId="1" fontId="6" fillId="23" borderId="59" xfId="0" applyNumberFormat="1" applyFont="1" applyFill="1" applyBorder="1" applyProtection="1"/>
    <xf numFmtId="1" fontId="6" fillId="0" borderId="61" xfId="0" applyNumberFormat="1" applyFont="1" applyBorder="1" applyProtection="1"/>
    <xf numFmtId="0" fontId="6" fillId="0" borderId="62" xfId="0" applyFont="1" applyBorder="1" applyProtection="1"/>
    <xf numFmtId="0" fontId="6" fillId="13" borderId="0" xfId="0" applyFont="1" applyFill="1" applyBorder="1" applyProtection="1"/>
    <xf numFmtId="0" fontId="6" fillId="13" borderId="60" xfId="0" applyFont="1" applyFill="1" applyBorder="1" applyProtection="1"/>
    <xf numFmtId="14" fontId="14" fillId="23" borderId="3" xfId="0" applyNumberFormat="1" applyFont="1" applyFill="1" applyBorder="1" applyProtection="1"/>
    <xf numFmtId="1" fontId="6" fillId="0" borderId="2" xfId="0" applyNumberFormat="1" applyFont="1" applyBorder="1" applyProtection="1"/>
    <xf numFmtId="1" fontId="6" fillId="0" borderId="3" xfId="0" applyNumberFormat="1" applyFont="1" applyBorder="1"/>
    <xf numFmtId="14" fontId="96" fillId="21" borderId="10" xfId="0" applyNumberFormat="1" applyFont="1" applyFill="1" applyBorder="1" applyAlignment="1" applyProtection="1">
      <alignment horizontal="center" vertical="top"/>
      <protection locked="0"/>
    </xf>
    <xf numFmtId="0" fontId="6" fillId="0" borderId="21" xfId="0" applyFont="1" applyBorder="1"/>
    <xf numFmtId="0" fontId="6" fillId="0" borderId="9" xfId="0" applyFont="1" applyBorder="1"/>
    <xf numFmtId="0" fontId="6" fillId="0" borderId="21" xfId="0" applyFont="1" applyFill="1" applyBorder="1"/>
    <xf numFmtId="0" fontId="6" fillId="0" borderId="11" xfId="0" applyFont="1" applyFill="1" applyBorder="1"/>
    <xf numFmtId="1" fontId="6" fillId="22" borderId="4" xfId="0" applyNumberFormat="1" applyFont="1" applyFill="1" applyBorder="1"/>
    <xf numFmtId="0" fontId="6" fillId="22" borderId="0" xfId="0" applyFont="1" applyFill="1"/>
    <xf numFmtId="0" fontId="89" fillId="0" borderId="0" xfId="0" applyFont="1"/>
    <xf numFmtId="43" fontId="89" fillId="0" borderId="0" xfId="1" applyFont="1"/>
    <xf numFmtId="0" fontId="89" fillId="0" borderId="0" xfId="0" applyFont="1" applyAlignment="1" applyProtection="1">
      <alignment horizontal="center"/>
    </xf>
    <xf numFmtId="0" fontId="89" fillId="0" borderId="0" xfId="0" applyFont="1" applyAlignment="1">
      <alignment horizontal="center"/>
    </xf>
    <xf numFmtId="0" fontId="89" fillId="0" borderId="0" xfId="0" applyFont="1" applyAlignment="1">
      <alignment horizontal="center" vertical="top"/>
    </xf>
    <xf numFmtId="7" fontId="89" fillId="0" borderId="0" xfId="0" applyNumberFormat="1" applyFont="1" applyFill="1" applyBorder="1" applyAlignment="1" applyProtection="1">
      <alignment horizontal="left" wrapText="1"/>
    </xf>
    <xf numFmtId="0" fontId="89" fillId="0" borderId="18" xfId="0" applyFont="1" applyBorder="1" applyAlignment="1" applyProtection="1">
      <alignment horizontal="left"/>
    </xf>
    <xf numFmtId="0" fontId="89" fillId="0" borderId="17" xfId="0" applyFont="1" applyBorder="1" applyAlignment="1" applyProtection="1">
      <alignment horizontal="center"/>
    </xf>
    <xf numFmtId="0" fontId="89" fillId="0" borderId="16" xfId="0" applyFont="1" applyBorder="1" applyAlignment="1" applyProtection="1">
      <alignment horizontal="left"/>
    </xf>
    <xf numFmtId="43" fontId="89" fillId="0" borderId="15" xfId="1" applyFont="1" applyBorder="1" applyAlignment="1">
      <alignment horizontal="center"/>
    </xf>
    <xf numFmtId="0" fontId="89" fillId="0" borderId="15" xfId="0" applyFont="1" applyBorder="1" applyAlignment="1">
      <alignment horizontal="center"/>
    </xf>
    <xf numFmtId="44" fontId="89" fillId="0" borderId="19" xfId="5" applyFont="1" applyBorder="1" applyProtection="1"/>
    <xf numFmtId="44" fontId="89" fillId="0" borderId="17" xfId="5" applyFont="1" applyBorder="1" applyProtection="1"/>
    <xf numFmtId="7" fontId="89" fillId="0" borderId="4" xfId="0" applyNumberFormat="1" applyFont="1" applyBorder="1" applyAlignment="1" applyProtection="1">
      <alignment horizontal="left"/>
    </xf>
    <xf numFmtId="43" fontId="89" fillId="0" borderId="5" xfId="1" applyFont="1" applyBorder="1" applyProtection="1"/>
    <xf numFmtId="7" fontId="89" fillId="0" borderId="18" xfId="0" applyNumberFormat="1" applyFont="1" applyBorder="1" applyAlignment="1" applyProtection="1">
      <alignment horizontal="left"/>
    </xf>
    <xf numFmtId="43" fontId="89" fillId="0" borderId="17" xfId="1" applyFont="1" applyBorder="1" applyProtection="1"/>
    <xf numFmtId="7" fontId="89" fillId="24" borderId="18" xfId="0" applyNumberFormat="1" applyFont="1" applyFill="1" applyBorder="1" applyAlignment="1" applyProtection="1">
      <alignment horizontal="left" wrapText="1"/>
    </xf>
    <xf numFmtId="43" fontId="89" fillId="0" borderId="5" xfId="1" applyFont="1" applyBorder="1" applyAlignment="1" applyProtection="1">
      <alignment wrapText="1"/>
    </xf>
    <xf numFmtId="0" fontId="89" fillId="0" borderId="0" xfId="0" applyFont="1" applyAlignment="1">
      <alignment wrapText="1"/>
    </xf>
    <xf numFmtId="43" fontId="89" fillId="0" borderId="17" xfId="1" applyFont="1" applyBorder="1" applyAlignment="1" applyProtection="1">
      <alignment wrapText="1"/>
    </xf>
    <xf numFmtId="7" fontId="89" fillId="0" borderId="4" xfId="0" quotePrefix="1" applyNumberFormat="1" applyFont="1" applyFill="1" applyBorder="1" applyAlignment="1" applyProtection="1">
      <alignment horizontal="left"/>
    </xf>
    <xf numFmtId="7" fontId="89" fillId="0" borderId="18" xfId="0" quotePrefix="1" applyNumberFormat="1" applyFont="1" applyBorder="1" applyAlignment="1" applyProtection="1">
      <alignment horizontal="left"/>
    </xf>
    <xf numFmtId="7" fontId="89" fillId="0" borderId="4" xfId="0" applyNumberFormat="1" applyFont="1" applyFill="1" applyBorder="1" applyAlignment="1" applyProtection="1">
      <alignment horizontal="left"/>
    </xf>
    <xf numFmtId="43" fontId="108" fillId="0" borderId="5" xfId="1" applyFont="1" applyFill="1" applyBorder="1" applyProtection="1"/>
    <xf numFmtId="7" fontId="89" fillId="0" borderId="18" xfId="0" applyNumberFormat="1" applyFont="1" applyFill="1" applyBorder="1" applyAlignment="1" applyProtection="1">
      <alignment horizontal="left"/>
    </xf>
    <xf numFmtId="43" fontId="109" fillId="0" borderId="17" xfId="1" applyFont="1" applyBorder="1" applyProtection="1"/>
    <xf numFmtId="0" fontId="89" fillId="0" borderId="0" xfId="0" applyFont="1" applyFill="1"/>
    <xf numFmtId="43" fontId="108" fillId="0" borderId="17" xfId="1" applyFont="1" applyBorder="1" applyProtection="1"/>
    <xf numFmtId="44" fontId="89" fillId="0" borderId="5" xfId="5" applyFont="1" applyBorder="1" applyProtection="1"/>
    <xf numFmtId="7" fontId="89" fillId="0" borderId="17" xfId="5" applyNumberFormat="1" applyFont="1" applyFill="1" applyBorder="1" applyProtection="1"/>
    <xf numFmtId="7" fontId="89" fillId="0" borderId="17" xfId="0" applyNumberFormat="1" applyFont="1" applyFill="1" applyBorder="1" applyProtection="1"/>
    <xf numFmtId="7" fontId="89" fillId="0" borderId="5" xfId="0" applyNumberFormat="1" applyFont="1" applyBorder="1" applyProtection="1"/>
    <xf numFmtId="43" fontId="89" fillId="0" borderId="17" xfId="1" applyFont="1" applyFill="1" applyBorder="1" applyProtection="1"/>
    <xf numFmtId="10" fontId="89" fillId="0" borderId="17" xfId="0" applyNumberFormat="1" applyFont="1" applyFill="1" applyBorder="1" applyProtection="1"/>
    <xf numFmtId="7" fontId="89" fillId="0" borderId="6" xfId="0" applyNumberFormat="1" applyFont="1" applyFill="1" applyBorder="1" applyAlignment="1" applyProtection="1">
      <alignment horizontal="left"/>
    </xf>
    <xf numFmtId="10" fontId="89" fillId="25" borderId="7" xfId="0" applyNumberFormat="1" applyFont="1" applyFill="1" applyBorder="1" applyProtection="1"/>
    <xf numFmtId="10" fontId="89" fillId="25" borderId="17" xfId="1" applyNumberFormat="1" applyFont="1" applyFill="1" applyBorder="1" applyProtection="1"/>
    <xf numFmtId="7" fontId="89" fillId="0" borderId="18" xfId="0" applyNumberFormat="1" applyFont="1" applyFill="1" applyBorder="1" applyProtection="1"/>
    <xf numFmtId="43" fontId="89" fillId="0" borderId="17" xfId="1" applyFont="1" applyBorder="1"/>
    <xf numFmtId="44" fontId="89" fillId="0" borderId="19" xfId="5" applyFont="1" applyFill="1" applyBorder="1" applyProtection="1"/>
    <xf numFmtId="7" fontId="89" fillId="0" borderId="63" xfId="32" applyNumberFormat="1" applyFont="1" applyFill="1" applyBorder="1" applyAlignment="1" applyProtection="1">
      <alignment horizontal="left"/>
    </xf>
    <xf numFmtId="172" fontId="89" fillId="0" borderId="64" xfId="32" applyNumberFormat="1" applyFont="1" applyFill="1" applyBorder="1" applyProtection="1"/>
    <xf numFmtId="43" fontId="89" fillId="0" borderId="5" xfId="1" applyFont="1" applyFill="1" applyBorder="1" applyProtection="1"/>
    <xf numFmtId="0" fontId="89" fillId="0" borderId="59" xfId="32" applyFont="1" applyBorder="1"/>
    <xf numFmtId="0" fontId="89" fillId="0" borderId="60" xfId="32" applyFont="1" applyBorder="1"/>
    <xf numFmtId="0" fontId="89" fillId="0" borderId="0" xfId="0" applyFont="1" applyAlignment="1"/>
    <xf numFmtId="7" fontId="89" fillId="24" borderId="4" xfId="0" applyNumberFormat="1" applyFont="1" applyFill="1" applyBorder="1" applyAlignment="1" applyProtection="1">
      <alignment horizontal="left"/>
    </xf>
    <xf numFmtId="43" fontId="89" fillId="0" borderId="5" xfId="1" applyFont="1" applyFill="1" applyBorder="1" applyAlignment="1" applyProtection="1"/>
    <xf numFmtId="0" fontId="89" fillId="0" borderId="0" xfId="0" applyFont="1" applyFill="1" applyAlignment="1"/>
    <xf numFmtId="43" fontId="89" fillId="0" borderId="5" xfId="1" applyFont="1" applyBorder="1" applyAlignment="1" applyProtection="1"/>
    <xf numFmtId="7" fontId="89" fillId="24" borderId="18" xfId="0" applyNumberFormat="1" applyFont="1" applyFill="1" applyBorder="1" applyAlignment="1" applyProtection="1">
      <alignment horizontal="left"/>
    </xf>
    <xf numFmtId="0" fontId="89" fillId="0" borderId="61" xfId="32" applyFont="1" applyBorder="1"/>
    <xf numFmtId="0" fontId="89" fillId="0" borderId="62" xfId="32" applyFont="1" applyBorder="1"/>
    <xf numFmtId="0" fontId="89" fillId="0" borderId="4" xfId="0" applyFont="1" applyFill="1" applyBorder="1" applyAlignment="1" applyProtection="1">
      <alignment horizontal="left"/>
    </xf>
    <xf numFmtId="7" fontId="89" fillId="0" borderId="4" xfId="32" quotePrefix="1" applyNumberFormat="1" applyFont="1" applyFill="1" applyBorder="1" applyAlignment="1" applyProtection="1">
      <alignment horizontal="left"/>
    </xf>
    <xf numFmtId="43" fontId="89" fillId="0" borderId="5" xfId="2" applyFont="1" applyBorder="1" applyProtection="1"/>
    <xf numFmtId="44" fontId="89" fillId="0" borderId="5" xfId="5" applyFont="1" applyFill="1" applyBorder="1" applyProtection="1"/>
    <xf numFmtId="7" fontId="89" fillId="0" borderId="5" xfId="0" applyNumberFormat="1" applyFont="1" applyFill="1" applyBorder="1" applyProtection="1"/>
    <xf numFmtId="7" fontId="89" fillId="0" borderId="4" xfId="32" applyNumberFormat="1" applyFont="1" applyFill="1" applyBorder="1" applyAlignment="1" applyProtection="1">
      <alignment horizontal="left"/>
    </xf>
    <xf numFmtId="43" fontId="108" fillId="0" borderId="5" xfId="2" applyFont="1" applyFill="1" applyBorder="1" applyProtection="1"/>
    <xf numFmtId="7" fontId="89" fillId="0" borderId="4" xfId="32" applyNumberFormat="1" applyFont="1" applyBorder="1" applyAlignment="1" applyProtection="1">
      <alignment horizontal="left"/>
    </xf>
    <xf numFmtId="44" fontId="89" fillId="0" borderId="5" xfId="6" applyFont="1" applyBorder="1" applyProtection="1"/>
    <xf numFmtId="10" fontId="89" fillId="25" borderId="7" xfId="1" applyNumberFormat="1" applyFont="1" applyFill="1" applyBorder="1" applyProtection="1"/>
    <xf numFmtId="43" fontId="109" fillId="0" borderId="5" xfId="1" applyFont="1" applyBorder="1" applyProtection="1"/>
    <xf numFmtId="7" fontId="89" fillId="0" borderId="5" xfId="32" applyNumberFormat="1" applyFont="1" applyBorder="1" applyProtection="1"/>
    <xf numFmtId="7" fontId="89" fillId="0" borderId="6" xfId="32" applyNumberFormat="1" applyFont="1" applyFill="1" applyBorder="1" applyAlignment="1" applyProtection="1">
      <alignment horizontal="left"/>
    </xf>
    <xf numFmtId="10" fontId="89" fillId="25" borderId="7" xfId="32" applyNumberFormat="1" applyFont="1" applyFill="1" applyBorder="1" applyProtection="1"/>
    <xf numFmtId="7" fontId="89" fillId="0" borderId="4" xfId="0" applyNumberFormat="1" applyFont="1" applyFill="1" applyBorder="1" applyProtection="1"/>
    <xf numFmtId="43" fontId="89" fillId="0" borderId="5" xfId="1" applyFont="1" applyBorder="1"/>
    <xf numFmtId="7" fontId="89" fillId="24" borderId="4" xfId="0" applyNumberFormat="1" applyFont="1" applyFill="1" applyBorder="1" applyAlignment="1" applyProtection="1"/>
    <xf numFmtId="10" fontId="89" fillId="25" borderId="7" xfId="1" applyNumberFormat="1" applyFont="1" applyFill="1" applyBorder="1" applyAlignment="1" applyProtection="1"/>
    <xf numFmtId="0" fontId="89" fillId="0" borderId="0" xfId="1" applyNumberFormat="1" applyFont="1"/>
    <xf numFmtId="43" fontId="109" fillId="0" borderId="5" xfId="1" applyFont="1" applyFill="1" applyBorder="1" applyProtection="1"/>
    <xf numFmtId="44" fontId="89" fillId="0" borderId="5" xfId="5" applyNumberFormat="1" applyFont="1" applyBorder="1" applyProtection="1"/>
    <xf numFmtId="44" fontId="89" fillId="0" borderId="5" xfId="0" applyNumberFormat="1" applyFont="1" applyBorder="1" applyProtection="1"/>
    <xf numFmtId="7" fontId="89" fillId="0" borderId="6" xfId="0" applyNumberFormat="1" applyFont="1" applyBorder="1" applyAlignment="1" applyProtection="1">
      <alignment horizontal="left"/>
    </xf>
    <xf numFmtId="0" fontId="89" fillId="0" borderId="0" xfId="0" quotePrefix="1" applyFont="1" applyAlignment="1">
      <alignment horizontal="left"/>
    </xf>
    <xf numFmtId="7" fontId="89" fillId="0" borderId="0" xfId="0" applyNumberFormat="1" applyFont="1" applyBorder="1" applyAlignment="1" applyProtection="1">
      <alignment horizontal="left"/>
    </xf>
    <xf numFmtId="43" fontId="89" fillId="0" borderId="0" xfId="1" applyFont="1" applyBorder="1" applyProtection="1"/>
    <xf numFmtId="172" fontId="89" fillId="0" borderId="0" xfId="0" applyNumberFormat="1" applyFont="1" applyBorder="1" applyProtection="1"/>
    <xf numFmtId="7" fontId="89" fillId="26" borderId="21" xfId="0" applyNumberFormat="1" applyFont="1" applyFill="1" applyBorder="1" applyAlignment="1" applyProtection="1">
      <alignment horizontal="left"/>
    </xf>
    <xf numFmtId="43" fontId="89" fillId="26" borderId="9" xfId="1" applyFont="1" applyFill="1" applyBorder="1" applyProtection="1"/>
    <xf numFmtId="7" fontId="89" fillId="26" borderId="20" xfId="0" applyNumberFormat="1" applyFont="1" applyFill="1" applyBorder="1" applyAlignment="1" applyProtection="1">
      <alignment horizontal="left"/>
    </xf>
    <xf numFmtId="0" fontId="89" fillId="0" borderId="0" xfId="0" applyFont="1" applyBorder="1" applyAlignment="1" applyProtection="1">
      <alignment horizontal="left"/>
    </xf>
    <xf numFmtId="43" fontId="89" fillId="0" borderId="15" xfId="1" applyFont="1" applyBorder="1" applyAlignment="1" applyProtection="1">
      <alignment horizontal="center"/>
    </xf>
    <xf numFmtId="0" fontId="89" fillId="0" borderId="15" xfId="0" applyFont="1" applyBorder="1" applyAlignment="1" applyProtection="1">
      <alignment horizontal="left"/>
    </xf>
    <xf numFmtId="7" fontId="89" fillId="0" borderId="17" xfId="5" applyNumberFormat="1" applyFont="1" applyBorder="1" applyProtection="1"/>
    <xf numFmtId="7" fontId="89" fillId="24" borderId="18" xfId="0" applyNumberFormat="1" applyFont="1" applyFill="1" applyBorder="1" applyAlignment="1" applyProtection="1">
      <alignment horizontal="left" vertical="top"/>
    </xf>
    <xf numFmtId="7" fontId="89" fillId="0" borderId="18" xfId="0" quotePrefix="1" applyNumberFormat="1" applyFont="1" applyFill="1" applyBorder="1" applyAlignment="1" applyProtection="1">
      <alignment horizontal="left"/>
    </xf>
    <xf numFmtId="43" fontId="109" fillId="0" borderId="17" xfId="1" applyFont="1" applyFill="1" applyBorder="1" applyProtection="1"/>
    <xf numFmtId="7" fontId="89" fillId="0" borderId="17" xfId="0" applyNumberFormat="1" applyFont="1" applyBorder="1" applyProtection="1"/>
    <xf numFmtId="7" fontId="89" fillId="0" borderId="18" xfId="0" applyNumberFormat="1" applyFont="1" applyBorder="1" applyProtection="1"/>
    <xf numFmtId="0" fontId="89" fillId="0" borderId="17" xfId="0" applyFont="1" applyBorder="1"/>
    <xf numFmtId="7" fontId="89" fillId="0" borderId="16" xfId="0" applyNumberFormat="1" applyFont="1" applyBorder="1" applyAlignment="1" applyProtection="1">
      <alignment horizontal="left"/>
    </xf>
    <xf numFmtId="10" fontId="89" fillId="25" borderId="15" xfId="1" applyNumberFormat="1" applyFont="1" applyFill="1" applyBorder="1" applyProtection="1"/>
    <xf numFmtId="10" fontId="89" fillId="25" borderId="15" xfId="0" applyNumberFormat="1" applyFont="1" applyFill="1" applyBorder="1" applyProtection="1"/>
    <xf numFmtId="0" fontId="77" fillId="17" borderId="54" xfId="9" applyFont="1" applyFill="1" applyBorder="1" applyAlignment="1" applyProtection="1">
      <alignment horizontal="left" vertical="top"/>
      <protection locked="0"/>
    </xf>
    <xf numFmtId="7" fontId="89" fillId="27" borderId="63" xfId="0" applyNumberFormat="1" applyFont="1" applyFill="1" applyBorder="1" applyAlignment="1" applyProtection="1">
      <alignment horizontal="left"/>
    </xf>
    <xf numFmtId="0" fontId="89" fillId="10" borderId="22" xfId="0" applyFont="1" applyFill="1" applyBorder="1" applyAlignment="1" applyProtection="1">
      <alignment horizontal="left"/>
    </xf>
    <xf numFmtId="0" fontId="89" fillId="10" borderId="18" xfId="0" applyFont="1" applyFill="1" applyBorder="1" applyAlignment="1" applyProtection="1">
      <alignment horizontal="left"/>
    </xf>
    <xf numFmtId="0" fontId="105" fillId="0" borderId="11" xfId="0" applyFont="1" applyFill="1" applyBorder="1" applyAlignment="1" applyProtection="1">
      <alignment vertical="top" wrapText="1"/>
      <protection locked="0"/>
    </xf>
    <xf numFmtId="0" fontId="105" fillId="0" borderId="9" xfId="0" applyFont="1" applyFill="1" applyBorder="1" applyAlignment="1" applyProtection="1">
      <alignment vertical="top" wrapText="1"/>
      <protection locked="0"/>
    </xf>
    <xf numFmtId="0" fontId="96" fillId="21" borderId="53" xfId="0" applyFont="1" applyFill="1" applyBorder="1" applyAlignment="1" applyProtection="1">
      <alignment vertical="top"/>
      <protection locked="0"/>
    </xf>
    <xf numFmtId="41" fontId="96" fillId="20" borderId="19" xfId="0" applyNumberFormat="1" applyFont="1" applyFill="1" applyBorder="1" applyAlignment="1" applyProtection="1">
      <alignment vertical="top"/>
    </xf>
    <xf numFmtId="0" fontId="96" fillId="19" borderId="22" xfId="0" applyFont="1" applyFill="1" applyBorder="1" applyAlignment="1" applyProtection="1">
      <alignment vertical="top"/>
      <protection locked="0"/>
    </xf>
    <xf numFmtId="0" fontId="96" fillId="19" borderId="13" xfId="0" applyFont="1" applyFill="1" applyBorder="1" applyAlignment="1" applyProtection="1">
      <alignment horizontal="center" vertical="top"/>
      <protection locked="0"/>
    </xf>
    <xf numFmtId="0" fontId="103" fillId="19" borderId="13" xfId="0" applyFont="1" applyFill="1" applyBorder="1" applyAlignment="1" applyProtection="1">
      <alignment horizontal="right" vertical="top"/>
      <protection locked="0"/>
    </xf>
    <xf numFmtId="165" fontId="96" fillId="19" borderId="13" xfId="0" applyNumberFormat="1" applyFont="1" applyFill="1" applyBorder="1" applyAlignment="1" applyProtection="1">
      <alignment horizontal="right" vertical="top"/>
      <protection locked="0"/>
    </xf>
    <xf numFmtId="0" fontId="96" fillId="0" borderId="6" xfId="0" applyFont="1" applyFill="1" applyBorder="1" applyAlignment="1" applyProtection="1">
      <alignment vertical="top"/>
      <protection locked="0"/>
    </xf>
    <xf numFmtId="0" fontId="96" fillId="0" borderId="3" xfId="0" applyFont="1" applyFill="1" applyBorder="1" applyAlignment="1" applyProtection="1">
      <alignment vertical="top"/>
      <protection locked="0"/>
    </xf>
    <xf numFmtId="0" fontId="97" fillId="0" borderId="3" xfId="131" applyFont="1" applyFill="1" applyBorder="1" applyAlignment="1" applyProtection="1">
      <alignment vertical="top"/>
      <protection locked="0"/>
    </xf>
    <xf numFmtId="0" fontId="96" fillId="17" borderId="65" xfId="0" applyFont="1" applyFill="1" applyBorder="1" applyAlignment="1" applyProtection="1">
      <alignment vertical="top"/>
      <protection locked="0"/>
    </xf>
    <xf numFmtId="0" fontId="96" fillId="0" borderId="54" xfId="0" applyFont="1" applyBorder="1" applyAlignment="1">
      <alignment horizontal="right"/>
    </xf>
    <xf numFmtId="166" fontId="96" fillId="20" borderId="66" xfId="0" applyNumberFormat="1" applyFont="1" applyFill="1" applyBorder="1" applyAlignment="1" applyProtection="1">
      <alignment horizontal="right" vertical="top"/>
      <protection locked="0"/>
    </xf>
    <xf numFmtId="0" fontId="96" fillId="21" borderId="54" xfId="0" applyFont="1" applyFill="1" applyBorder="1" applyAlignment="1" applyProtection="1">
      <alignment horizontal="center" vertical="top"/>
      <protection locked="0"/>
    </xf>
    <xf numFmtId="0" fontId="103" fillId="21" borderId="54" xfId="0" applyFont="1" applyFill="1" applyBorder="1" applyAlignment="1" applyProtection="1">
      <alignment horizontal="right" vertical="top"/>
      <protection locked="0"/>
    </xf>
    <xf numFmtId="165" fontId="96" fillId="21" borderId="54" xfId="0" applyNumberFormat="1" applyFont="1" applyFill="1" applyBorder="1" applyAlignment="1" applyProtection="1">
      <alignment horizontal="right" vertical="top"/>
      <protection locked="0"/>
    </xf>
    <xf numFmtId="41" fontId="97" fillId="21" borderId="54" xfId="0" applyNumberFormat="1" applyFont="1" applyFill="1" applyBorder="1" applyAlignment="1" applyProtection="1">
      <alignment vertical="top"/>
    </xf>
    <xf numFmtId="41" fontId="97" fillId="21" borderId="55" xfId="0" applyNumberFormat="1" applyFont="1" applyFill="1" applyBorder="1" applyAlignment="1" applyProtection="1">
      <alignment vertical="top"/>
    </xf>
    <xf numFmtId="41" fontId="97" fillId="0" borderId="42" xfId="0" applyNumberFormat="1" applyFont="1" applyFill="1" applyBorder="1" applyAlignment="1" applyProtection="1">
      <alignment vertical="top"/>
    </xf>
    <xf numFmtId="170" fontId="80" fillId="0" borderId="0" xfId="9" applyNumberFormat="1" applyFont="1" applyFill="1" applyBorder="1" applyAlignment="1" applyProtection="1">
      <alignment vertical="top"/>
      <protection locked="0"/>
    </xf>
    <xf numFmtId="0" fontId="81" fillId="0" borderId="0" xfId="0" applyFont="1" applyFill="1" applyAlignment="1" applyProtection="1">
      <alignment vertical="top"/>
      <protection locked="0"/>
    </xf>
    <xf numFmtId="14" fontId="96" fillId="11" borderId="8" xfId="0" applyNumberFormat="1" applyFont="1" applyFill="1" applyBorder="1" applyAlignment="1" applyProtection="1">
      <alignment horizontal="center" vertical="top"/>
      <protection locked="0"/>
    </xf>
    <xf numFmtId="14" fontId="96" fillId="11" borderId="11" xfId="0" applyNumberFormat="1" applyFont="1" applyFill="1" applyBorder="1" applyAlignment="1" applyProtection="1">
      <alignment horizontal="center" vertical="top"/>
      <protection locked="0"/>
    </xf>
    <xf numFmtId="170" fontId="96" fillId="11" borderId="8" xfId="0" applyNumberFormat="1" applyFont="1" applyFill="1" applyBorder="1" applyAlignment="1" applyProtection="1">
      <alignment horizontal="center" vertical="top"/>
      <protection locked="0"/>
    </xf>
    <xf numFmtId="0" fontId="97" fillId="0" borderId="4" xfId="0" applyFont="1" applyBorder="1"/>
    <xf numFmtId="173" fontId="96" fillId="16" borderId="42" xfId="0" applyNumberFormat="1" applyFont="1" applyFill="1" applyBorder="1" applyAlignment="1" applyProtection="1">
      <alignment horizontal="center" vertical="top"/>
      <protection locked="0"/>
    </xf>
    <xf numFmtId="173" fontId="96" fillId="16" borderId="0" xfId="0" applyNumberFormat="1" applyFont="1" applyFill="1" applyBorder="1" applyAlignment="1" applyProtection="1">
      <alignment horizontal="center" vertical="top"/>
      <protection locked="0"/>
    </xf>
    <xf numFmtId="14" fontId="96" fillId="16" borderId="42" xfId="0" applyNumberFormat="1" applyFont="1" applyFill="1" applyBorder="1" applyAlignment="1" applyProtection="1">
      <alignment horizontal="center" vertical="top"/>
      <protection locked="0"/>
    </xf>
    <xf numFmtId="173" fontId="96" fillId="16" borderId="10" xfId="0" applyNumberFormat="1" applyFont="1" applyFill="1" applyBorder="1" applyAlignment="1" applyProtection="1">
      <alignment horizontal="center" vertical="top"/>
      <protection locked="0"/>
    </xf>
    <xf numFmtId="173" fontId="96" fillId="16" borderId="3" xfId="0" applyNumberFormat="1" applyFont="1" applyFill="1" applyBorder="1" applyAlignment="1" applyProtection="1">
      <alignment horizontal="center" vertical="top"/>
      <protection locked="0"/>
    </xf>
    <xf numFmtId="14" fontId="96" fillId="16" borderId="10" xfId="0" applyNumberFormat="1" applyFont="1" applyFill="1" applyBorder="1" applyAlignment="1" applyProtection="1">
      <alignment horizontal="center" vertical="top"/>
      <protection locked="0"/>
    </xf>
    <xf numFmtId="0" fontId="96" fillId="11" borderId="49" xfId="0" applyFont="1" applyFill="1" applyBorder="1" applyAlignment="1" applyProtection="1">
      <alignment vertical="top"/>
      <protection locked="0"/>
    </xf>
    <xf numFmtId="0" fontId="96" fillId="11" borderId="50" xfId="0" applyFont="1" applyFill="1" applyBorder="1" applyAlignment="1" applyProtection="1">
      <alignment horizontal="center" vertical="top"/>
      <protection locked="0"/>
    </xf>
    <xf numFmtId="0" fontId="103" fillId="11" borderId="50" xfId="0" applyFont="1" applyFill="1" applyBorder="1" applyAlignment="1" applyProtection="1">
      <alignment horizontal="right" vertical="top"/>
      <protection locked="0"/>
    </xf>
    <xf numFmtId="165" fontId="96" fillId="11" borderId="50" xfId="0" applyNumberFormat="1" applyFont="1" applyFill="1" applyBorder="1" applyAlignment="1" applyProtection="1">
      <alignment horizontal="right" vertical="top"/>
      <protection locked="0"/>
    </xf>
    <xf numFmtId="41" fontId="97" fillId="11" borderId="2" xfId="0" applyNumberFormat="1" applyFont="1" applyFill="1" applyBorder="1" applyAlignment="1" applyProtection="1">
      <alignment vertical="top"/>
      <protection locked="0"/>
    </xf>
    <xf numFmtId="41" fontId="97" fillId="11" borderId="52" xfId="0" applyNumberFormat="1" applyFont="1" applyFill="1" applyBorder="1" applyAlignment="1" applyProtection="1">
      <alignment vertical="top"/>
      <protection locked="0"/>
    </xf>
    <xf numFmtId="0" fontId="96" fillId="11" borderId="53" xfId="0" applyFont="1" applyFill="1" applyBorder="1" applyAlignment="1" applyProtection="1">
      <alignment vertical="top"/>
      <protection locked="0"/>
    </xf>
    <xf numFmtId="0" fontId="96" fillId="11" borderId="54" xfId="0" applyFont="1" applyFill="1" applyBorder="1" applyAlignment="1" applyProtection="1">
      <alignment horizontal="center" vertical="top"/>
      <protection locked="0"/>
    </xf>
    <xf numFmtId="0" fontId="103" fillId="11" borderId="54" xfId="0" applyFont="1" applyFill="1" applyBorder="1" applyAlignment="1" applyProtection="1">
      <alignment horizontal="right" vertical="top"/>
      <protection locked="0"/>
    </xf>
    <xf numFmtId="165" fontId="96" fillId="11" borderId="54" xfId="0" applyNumberFormat="1" applyFont="1" applyFill="1" applyBorder="1" applyAlignment="1" applyProtection="1">
      <alignment horizontal="right" vertical="top"/>
      <protection locked="0"/>
    </xf>
    <xf numFmtId="41" fontId="97" fillId="11" borderId="54" xfId="0" applyNumberFormat="1" applyFont="1" applyFill="1" applyBorder="1" applyAlignment="1" applyProtection="1">
      <alignment vertical="top"/>
    </xf>
    <xf numFmtId="41" fontId="97" fillId="11" borderId="55" xfId="0" applyNumberFormat="1" applyFont="1" applyFill="1" applyBorder="1" applyAlignment="1" applyProtection="1">
      <alignment vertical="top"/>
      <protection locked="0"/>
    </xf>
    <xf numFmtId="41" fontId="97" fillId="16" borderId="22" xfId="0" applyNumberFormat="1" applyFont="1" applyFill="1" applyBorder="1" applyAlignment="1" applyProtection="1">
      <alignment vertical="top"/>
    </xf>
    <xf numFmtId="41" fontId="97" fillId="16" borderId="14" xfId="0" applyNumberFormat="1" applyFont="1" applyFill="1" applyBorder="1" applyAlignment="1" applyProtection="1">
      <alignment vertical="top"/>
    </xf>
    <xf numFmtId="41" fontId="97" fillId="16" borderId="13" xfId="0" applyNumberFormat="1" applyFont="1" applyFill="1" applyBorder="1" applyAlignment="1" applyProtection="1">
      <alignment vertical="top"/>
    </xf>
    <xf numFmtId="41" fontId="97" fillId="16" borderId="4" xfId="0" applyNumberFormat="1" applyFont="1" applyFill="1" applyBorder="1" applyAlignment="1" applyProtection="1">
      <alignment vertical="top"/>
    </xf>
    <xf numFmtId="41" fontId="97" fillId="16" borderId="42" xfId="0" applyNumberFormat="1" applyFont="1" applyFill="1" applyBorder="1" applyAlignment="1" applyProtection="1">
      <alignment vertical="top"/>
    </xf>
    <xf numFmtId="41" fontId="97" fillId="16" borderId="0" xfId="0" applyNumberFormat="1" applyFont="1" applyFill="1" applyBorder="1" applyAlignment="1" applyProtection="1">
      <alignment vertical="top"/>
    </xf>
    <xf numFmtId="41" fontId="97" fillId="16" borderId="56" xfId="0" applyNumberFormat="1" applyFont="1" applyFill="1" applyBorder="1" applyAlignment="1" applyProtection="1">
      <alignment vertical="top"/>
    </xf>
    <xf numFmtId="41" fontId="97" fillId="16" borderId="43" xfId="0" applyNumberFormat="1" applyFont="1" applyFill="1" applyBorder="1" applyAlignment="1" applyProtection="1">
      <alignment vertical="top"/>
    </xf>
    <xf numFmtId="41" fontId="97" fillId="16" borderId="2" xfId="0" applyNumberFormat="1" applyFont="1" applyFill="1" applyBorder="1" applyAlignment="1" applyProtection="1">
      <alignment vertical="top"/>
    </xf>
    <xf numFmtId="41" fontId="97" fillId="11" borderId="54" xfId="0" applyNumberFormat="1" applyFont="1" applyFill="1" applyBorder="1" applyAlignment="1" applyProtection="1">
      <alignment vertical="top"/>
      <protection locked="0"/>
    </xf>
    <xf numFmtId="41" fontId="97" fillId="16" borderId="40" xfId="0" applyNumberFormat="1" applyFont="1" applyFill="1" applyBorder="1" applyAlignment="1" applyProtection="1">
      <alignment vertical="top"/>
    </xf>
    <xf numFmtId="41" fontId="97" fillId="16" borderId="54" xfId="0" applyNumberFormat="1" applyFont="1" applyFill="1" applyBorder="1" applyAlignment="1" applyProtection="1">
      <alignment vertical="top"/>
      <protection locked="0"/>
    </xf>
    <xf numFmtId="41" fontId="97" fillId="16" borderId="55" xfId="0" applyNumberFormat="1" applyFont="1" applyFill="1" applyBorder="1" applyAlignment="1" applyProtection="1">
      <alignment vertical="top"/>
      <protection locked="0"/>
    </xf>
    <xf numFmtId="41" fontId="97" fillId="16" borderId="40" xfId="0" applyNumberFormat="1" applyFont="1" applyFill="1" applyBorder="1" applyAlignment="1" applyProtection="1">
      <alignment vertical="top"/>
      <protection locked="0"/>
    </xf>
    <xf numFmtId="41" fontId="97" fillId="16" borderId="10" xfId="0" applyNumberFormat="1" applyFont="1" applyFill="1" applyBorder="1" applyAlignment="1" applyProtection="1">
      <alignment vertical="top"/>
      <protection locked="0"/>
    </xf>
    <xf numFmtId="41" fontId="97" fillId="11" borderId="55" xfId="0" applyNumberFormat="1" applyFont="1" applyFill="1" applyBorder="1" applyAlignment="1" applyProtection="1">
      <alignment vertical="top"/>
    </xf>
    <xf numFmtId="41" fontId="97" fillId="28" borderId="45" xfId="0" applyNumberFormat="1" applyFont="1" applyFill="1" applyBorder="1" applyAlignment="1" applyProtection="1">
      <alignment vertical="top"/>
    </xf>
    <xf numFmtId="0" fontId="3" fillId="11" borderId="54" xfId="9" applyFill="1" applyBorder="1" applyAlignment="1" applyProtection="1">
      <alignment horizontal="left" vertical="top"/>
      <protection locked="0"/>
    </xf>
    <xf numFmtId="0" fontId="77" fillId="11" borderId="54" xfId="9" applyFont="1" applyFill="1" applyBorder="1" applyAlignment="1" applyProtection="1">
      <alignment horizontal="left" vertical="top"/>
      <protection locked="0"/>
    </xf>
    <xf numFmtId="41" fontId="81" fillId="0" borderId="0" xfId="0" applyNumberFormat="1" applyFont="1" applyFill="1" applyAlignment="1" applyProtection="1">
      <alignment vertical="top"/>
      <protection locked="0"/>
    </xf>
    <xf numFmtId="41" fontId="97" fillId="0" borderId="22" xfId="0" applyNumberFormat="1" applyFont="1" applyFill="1" applyBorder="1" applyAlignment="1" applyProtection="1">
      <alignment vertical="top"/>
    </xf>
    <xf numFmtId="41" fontId="99" fillId="29" borderId="53" xfId="0" applyNumberFormat="1" applyFont="1" applyFill="1" applyBorder="1" applyAlignment="1" applyProtection="1">
      <alignment vertical="top"/>
    </xf>
    <xf numFmtId="41" fontId="99" fillId="29" borderId="67" xfId="0" applyNumberFormat="1" applyFont="1" applyFill="1" applyBorder="1" applyAlignment="1" applyProtection="1">
      <alignment vertical="top"/>
    </xf>
    <xf numFmtId="41" fontId="99" fillId="29" borderId="68" xfId="0" applyNumberFormat="1" applyFont="1" applyFill="1" applyBorder="1" applyAlignment="1" applyProtection="1">
      <alignment vertical="top"/>
    </xf>
    <xf numFmtId="41" fontId="99" fillId="29" borderId="55" xfId="0" applyNumberFormat="1" applyFont="1" applyFill="1" applyBorder="1" applyAlignment="1" applyProtection="1">
      <alignment vertical="top"/>
    </xf>
    <xf numFmtId="41" fontId="99" fillId="0" borderId="7" xfId="0" applyNumberFormat="1" applyFont="1" applyFill="1" applyBorder="1" applyAlignment="1" applyProtection="1">
      <alignment vertical="top"/>
    </xf>
    <xf numFmtId="41" fontId="99" fillId="0" borderId="0" xfId="0" applyNumberFormat="1" applyFont="1" applyFill="1" applyBorder="1" applyAlignment="1" applyProtection="1">
      <alignment vertical="top"/>
    </xf>
    <xf numFmtId="0" fontId="110" fillId="0" borderId="0" xfId="0" applyFont="1" applyFill="1" applyBorder="1" applyAlignment="1" applyProtection="1">
      <alignment vertical="top"/>
      <protection locked="0"/>
    </xf>
    <xf numFmtId="0" fontId="99" fillId="0" borderId="0" xfId="0" applyFont="1" applyFill="1" applyAlignment="1" applyProtection="1">
      <alignment vertical="top"/>
      <protection locked="0"/>
    </xf>
    <xf numFmtId="0" fontId="99" fillId="0" borderId="0" xfId="0" applyFont="1" applyFill="1" applyAlignment="1" applyProtection="1">
      <alignment vertical="top" wrapText="1"/>
      <protection locked="0"/>
    </xf>
    <xf numFmtId="0" fontId="111" fillId="0" borderId="0" xfId="0" applyFont="1" applyFill="1" applyBorder="1" applyAlignment="1" applyProtection="1">
      <alignment vertical="top"/>
      <protection locked="0"/>
    </xf>
    <xf numFmtId="0" fontId="112" fillId="0" borderId="0" xfId="0" applyFont="1" applyFill="1" applyAlignment="1" applyProtection="1">
      <alignment vertical="top"/>
      <protection locked="0"/>
    </xf>
    <xf numFmtId="41" fontId="96" fillId="0" borderId="14" xfId="0" applyNumberFormat="1" applyFont="1" applyFill="1" applyBorder="1" applyAlignment="1" applyProtection="1">
      <alignment vertical="top"/>
    </xf>
    <xf numFmtId="41" fontId="96" fillId="0" borderId="49" xfId="0" applyNumberFormat="1" applyFont="1" applyFill="1" applyBorder="1" applyAlignment="1" applyProtection="1">
      <alignment vertical="top"/>
    </xf>
    <xf numFmtId="41" fontId="99" fillId="0" borderId="66" xfId="0" applyNumberFormat="1" applyFont="1" applyFill="1" applyBorder="1" applyAlignment="1" applyProtection="1">
      <alignment vertical="top"/>
    </xf>
    <xf numFmtId="0" fontId="97" fillId="16" borderId="4" xfId="0" applyFont="1" applyFill="1" applyBorder="1" applyAlignment="1" applyProtection="1">
      <alignment vertical="top"/>
      <protection locked="0"/>
    </xf>
    <xf numFmtId="0" fontId="97" fillId="16" borderId="0" xfId="0" applyFont="1" applyFill="1" applyBorder="1" applyAlignment="1" applyProtection="1">
      <alignment vertical="top"/>
      <protection locked="0"/>
    </xf>
    <xf numFmtId="9" fontId="96" fillId="11" borderId="8" xfId="0" applyNumberFormat="1" applyFont="1" applyFill="1" applyBorder="1" applyAlignment="1" applyProtection="1">
      <alignment horizontal="right" vertical="top"/>
      <protection locked="0"/>
    </xf>
    <xf numFmtId="41" fontId="96" fillId="11" borderId="21" xfId="0" applyNumberFormat="1" applyFont="1" applyFill="1" applyBorder="1" applyAlignment="1" applyProtection="1">
      <alignment vertical="top"/>
    </xf>
    <xf numFmtId="41" fontId="96" fillId="11" borderId="8" xfId="0" applyNumberFormat="1" applyFont="1" applyFill="1" applyBorder="1" applyAlignment="1" applyProtection="1">
      <alignment vertical="top"/>
    </xf>
    <xf numFmtId="0" fontId="96" fillId="11" borderId="46" xfId="0" applyFont="1" applyFill="1" applyBorder="1" applyAlignment="1" applyProtection="1">
      <alignment vertical="top"/>
      <protection locked="0"/>
    </xf>
    <xf numFmtId="0" fontId="96" fillId="11" borderId="47" xfId="0" applyFont="1" applyFill="1" applyBorder="1" applyAlignment="1" applyProtection="1">
      <alignment horizontal="center" vertical="top"/>
      <protection locked="0"/>
    </xf>
    <xf numFmtId="0" fontId="103" fillId="11" borderId="47" xfId="0" applyFont="1" applyFill="1" applyBorder="1" applyAlignment="1" applyProtection="1">
      <alignment horizontal="right" vertical="top"/>
      <protection locked="0"/>
    </xf>
    <xf numFmtId="165" fontId="96" fillId="11" borderId="47" xfId="0" applyNumberFormat="1" applyFont="1" applyFill="1" applyBorder="1" applyAlignment="1" applyProtection="1">
      <alignment horizontal="right" vertical="top"/>
      <protection locked="0"/>
    </xf>
    <xf numFmtId="41" fontId="97" fillId="11" borderId="48" xfId="0" applyNumberFormat="1" applyFont="1" applyFill="1" applyBorder="1" applyAlignment="1" applyProtection="1">
      <alignment vertical="top"/>
    </xf>
    <xf numFmtId="41" fontId="97" fillId="0" borderId="0" xfId="0" applyNumberFormat="1" applyFont="1" applyFill="1" applyBorder="1" applyAlignment="1" applyProtection="1">
      <alignment horizontal="center" vertical="top"/>
      <protection locked="0"/>
    </xf>
    <xf numFmtId="41" fontId="99" fillId="29" borderId="21" xfId="0" applyNumberFormat="1" applyFont="1" applyFill="1" applyBorder="1" applyAlignment="1" applyProtection="1">
      <alignment horizontal="center" vertical="top"/>
    </xf>
    <xf numFmtId="41" fontId="99" fillId="29" borderId="11" xfId="0" applyNumberFormat="1" applyFont="1" applyFill="1" applyBorder="1" applyAlignment="1" applyProtection="1">
      <alignment horizontal="center" vertical="top"/>
    </xf>
    <xf numFmtId="41" fontId="99" fillId="29" borderId="9" xfId="0" applyNumberFormat="1" applyFont="1" applyFill="1" applyBorder="1" applyAlignment="1" applyProtection="1">
      <alignment horizontal="center" vertical="top"/>
    </xf>
    <xf numFmtId="0" fontId="96" fillId="11" borderId="49" xfId="0" applyFont="1" applyFill="1" applyBorder="1" applyAlignment="1" applyProtection="1">
      <alignment horizontal="center" vertical="top"/>
      <protection locked="0"/>
    </xf>
    <xf numFmtId="0" fontId="97" fillId="11" borderId="50" xfId="0" applyFont="1" applyFill="1" applyBorder="1" applyAlignment="1" applyProtection="1">
      <alignment horizontal="center" vertical="top"/>
      <protection locked="0"/>
    </xf>
    <xf numFmtId="173" fontId="96" fillId="11" borderId="50" xfId="0" applyNumberFormat="1" applyFont="1" applyFill="1" applyBorder="1" applyAlignment="1" applyProtection="1">
      <alignment horizontal="center" vertical="top"/>
    </xf>
    <xf numFmtId="0" fontId="97" fillId="11" borderId="50" xfId="0" applyFont="1" applyFill="1" applyBorder="1" applyAlignment="1" applyProtection="1">
      <alignment horizontal="center" vertical="top"/>
    </xf>
    <xf numFmtId="0" fontId="97" fillId="11" borderId="69" xfId="0" applyFont="1" applyFill="1" applyBorder="1" applyAlignment="1" applyProtection="1">
      <alignment horizontal="center" vertical="top"/>
      <protection locked="0"/>
    </xf>
    <xf numFmtId="0" fontId="81" fillId="0" borderId="0" xfId="0" applyFont="1" applyFill="1" applyAlignment="1" applyProtection="1">
      <alignment vertical="top" wrapText="1"/>
      <protection locked="0"/>
    </xf>
    <xf numFmtId="0" fontId="97" fillId="11" borderId="50" xfId="0" applyFont="1" applyFill="1" applyBorder="1" applyAlignment="1" applyProtection="1">
      <alignment vertical="top"/>
      <protection locked="0"/>
    </xf>
    <xf numFmtId="0" fontId="97" fillId="11" borderId="50" xfId="0" applyFont="1" applyFill="1" applyBorder="1" applyAlignment="1" applyProtection="1">
      <alignment vertical="top"/>
    </xf>
    <xf numFmtId="165" fontId="97" fillId="11" borderId="50" xfId="0" applyNumberFormat="1" applyFont="1" applyFill="1" applyBorder="1" applyAlignment="1" applyProtection="1">
      <alignment vertical="top"/>
      <protection locked="0"/>
    </xf>
    <xf numFmtId="41" fontId="97" fillId="11" borderId="50" xfId="0" applyNumberFormat="1" applyFont="1" applyFill="1" applyBorder="1" applyAlignment="1" applyProtection="1">
      <alignment vertical="top"/>
      <protection locked="0"/>
    </xf>
    <xf numFmtId="173" fontId="96" fillId="11" borderId="50" xfId="0" applyNumberFormat="1" applyFont="1" applyFill="1" applyBorder="1" applyAlignment="1" applyProtection="1">
      <alignment horizontal="center" vertical="top"/>
      <protection locked="0"/>
    </xf>
    <xf numFmtId="41" fontId="97" fillId="11" borderId="45" xfId="0" applyNumberFormat="1" applyFont="1" applyFill="1" applyBorder="1" applyAlignment="1" applyProtection="1">
      <alignment vertical="top"/>
      <protection locked="0"/>
    </xf>
    <xf numFmtId="0" fontId="96" fillId="16" borderId="49" xfId="0" applyFont="1" applyFill="1" applyBorder="1" applyAlignment="1" applyProtection="1">
      <alignment horizontal="left" vertical="top"/>
      <protection locked="0"/>
    </xf>
    <xf numFmtId="0" fontId="97" fillId="16" borderId="50" xfId="0" applyFont="1" applyFill="1" applyBorder="1" applyAlignment="1" applyProtection="1">
      <alignment vertical="top"/>
      <protection locked="0"/>
    </xf>
    <xf numFmtId="173" fontId="96" fillId="16" borderId="50" xfId="0" applyNumberFormat="1" applyFont="1" applyFill="1" applyBorder="1" applyAlignment="1" applyProtection="1">
      <alignment horizontal="center" vertical="top"/>
      <protection locked="0"/>
    </xf>
    <xf numFmtId="41" fontId="97" fillId="16" borderId="50" xfId="0" applyNumberFormat="1" applyFont="1" applyFill="1" applyBorder="1" applyAlignment="1" applyProtection="1">
      <alignment vertical="top"/>
      <protection locked="0"/>
    </xf>
    <xf numFmtId="41" fontId="97" fillId="16" borderId="69" xfId="0" applyNumberFormat="1" applyFont="1" applyFill="1" applyBorder="1" applyAlignment="1" applyProtection="1">
      <alignment vertical="top"/>
      <protection locked="0"/>
    </xf>
    <xf numFmtId="0" fontId="0" fillId="0" borderId="0" xfId="0" applyFill="1" applyBorder="1" applyAlignment="1">
      <alignment horizontal="left" vertical="top"/>
    </xf>
    <xf numFmtId="7" fontId="114" fillId="22" borderId="64" xfId="0" applyNumberFormat="1" applyFont="1" applyFill="1" applyBorder="1" applyProtection="1"/>
    <xf numFmtId="176" fontId="6" fillId="0" borderId="0" xfId="5" applyNumberFormat="1" applyFont="1" applyProtection="1"/>
    <xf numFmtId="1" fontId="6" fillId="22" borderId="0" xfId="0" applyNumberFormat="1" applyFont="1" applyFill="1"/>
    <xf numFmtId="0" fontId="115" fillId="0" borderId="0" xfId="0" applyFont="1" applyFill="1" applyBorder="1" applyAlignment="1" applyProtection="1">
      <alignment vertical="top"/>
      <protection locked="0"/>
    </xf>
    <xf numFmtId="0" fontId="116" fillId="0" borderId="0" xfId="0" applyFont="1" applyFill="1" applyAlignment="1" applyProtection="1">
      <alignment vertical="top"/>
      <protection locked="0"/>
    </xf>
    <xf numFmtId="0" fontId="117" fillId="0" borderId="0" xfId="0" applyFont="1" applyFill="1" applyAlignment="1">
      <alignment vertical="center" wrapText="1"/>
    </xf>
    <xf numFmtId="0" fontId="117" fillId="0" borderId="0" xfId="0" applyFont="1" applyFill="1" applyAlignment="1">
      <alignment vertical="center"/>
    </xf>
    <xf numFmtId="0" fontId="118" fillId="0" borderId="0" xfId="9" applyFont="1" applyFill="1" applyAlignment="1" applyProtection="1">
      <alignment vertical="center" wrapText="1"/>
    </xf>
    <xf numFmtId="0" fontId="117" fillId="30" borderId="0" xfId="0" applyFont="1" applyFill="1" applyAlignment="1">
      <alignment vertical="center"/>
    </xf>
    <xf numFmtId="0" fontId="117" fillId="30" borderId="0" xfId="0" applyFont="1" applyFill="1" applyAlignment="1">
      <alignment vertical="center" wrapText="1"/>
    </xf>
    <xf numFmtId="0" fontId="118" fillId="0" borderId="0" xfId="0" applyFont="1" applyFill="1" applyAlignment="1">
      <alignment horizontal="left" vertical="distributed" wrapText="1"/>
    </xf>
    <xf numFmtId="0" fontId="117" fillId="0" borderId="0" xfId="0" applyFont="1" applyAlignment="1">
      <alignment horizontal="left" wrapText="1"/>
    </xf>
    <xf numFmtId="10" fontId="117" fillId="0" borderId="0" xfId="0" applyNumberFormat="1" applyFont="1" applyFill="1" applyAlignment="1">
      <alignment vertical="center" wrapText="1"/>
    </xf>
    <xf numFmtId="0" fontId="117" fillId="0" borderId="0" xfId="0" applyFont="1" applyFill="1" applyAlignment="1">
      <alignment vertical="top" wrapText="1"/>
    </xf>
    <xf numFmtId="0" fontId="117" fillId="30" borderId="0" xfId="0" applyFont="1" applyFill="1" applyAlignment="1">
      <alignment horizontal="center" vertical="top" wrapText="1"/>
    </xf>
    <xf numFmtId="0" fontId="117" fillId="30" borderId="0" xfId="0" applyFont="1" applyFill="1" applyAlignment="1">
      <alignment vertical="top"/>
    </xf>
    <xf numFmtId="0" fontId="114" fillId="0" borderId="0" xfId="0" applyFont="1" applyFill="1" applyBorder="1" applyAlignment="1">
      <alignment horizontal="center"/>
    </xf>
    <xf numFmtId="0" fontId="89" fillId="0" borderId="59" xfId="0" applyFont="1" applyBorder="1" applyAlignment="1" applyProtection="1">
      <alignment horizontal="left"/>
    </xf>
    <xf numFmtId="0" fontId="89" fillId="0" borderId="0" xfId="0" applyFont="1" applyBorder="1"/>
    <xf numFmtId="0" fontId="89" fillId="0" borderId="60" xfId="0" applyFont="1" applyBorder="1" applyAlignment="1" applyProtection="1">
      <alignment horizontal="center"/>
    </xf>
    <xf numFmtId="0" fontId="89" fillId="0" borderId="74" xfId="0" applyFont="1" applyBorder="1" applyAlignment="1" applyProtection="1">
      <alignment horizontal="left"/>
    </xf>
    <xf numFmtId="0" fontId="89" fillId="0" borderId="13" xfId="0" applyFont="1" applyBorder="1"/>
    <xf numFmtId="0" fontId="89" fillId="0" borderId="75" xfId="0" applyFont="1" applyBorder="1" applyAlignment="1" applyProtection="1">
      <alignment horizontal="center"/>
    </xf>
    <xf numFmtId="0" fontId="89" fillId="0" borderId="0" xfId="0" applyFont="1" applyFill="1" applyBorder="1" applyAlignment="1" applyProtection="1">
      <alignment horizontal="center"/>
    </xf>
    <xf numFmtId="0" fontId="89" fillId="0" borderId="76" xfId="0" applyFont="1" applyBorder="1" applyAlignment="1" applyProtection="1">
      <alignment horizontal="left"/>
    </xf>
    <xf numFmtId="44" fontId="89" fillId="0" borderId="75" xfId="5" applyFont="1" applyBorder="1" applyProtection="1"/>
    <xf numFmtId="44" fontId="89" fillId="0" borderId="0" xfId="5" applyFont="1" applyFill="1" applyBorder="1" applyProtection="1"/>
    <xf numFmtId="7" fontId="89" fillId="0" borderId="59" xfId="0" applyNumberFormat="1" applyFont="1" applyBorder="1" applyAlignment="1" applyProtection="1">
      <alignment horizontal="left"/>
    </xf>
    <xf numFmtId="44" fontId="89" fillId="0" borderId="60" xfId="5" applyFont="1" applyBorder="1" applyProtection="1"/>
    <xf numFmtId="7" fontId="89" fillId="24" borderId="59" xfId="0" applyNumberFormat="1" applyFont="1" applyFill="1" applyBorder="1" applyAlignment="1" applyProtection="1">
      <alignment horizontal="left" wrapText="1"/>
    </xf>
    <xf numFmtId="171" fontId="89" fillId="0" borderId="0" xfId="134" applyFont="1" applyAlignment="1">
      <alignment wrapText="1"/>
    </xf>
    <xf numFmtId="171" fontId="89" fillId="0" borderId="0" xfId="134" applyFont="1" applyBorder="1" applyAlignment="1">
      <alignment wrapText="1"/>
    </xf>
    <xf numFmtId="7" fontId="89" fillId="0" borderId="59" xfId="0" quotePrefix="1" applyNumberFormat="1" applyFont="1" applyFill="1" applyBorder="1" applyAlignment="1" applyProtection="1">
      <alignment horizontal="left"/>
    </xf>
    <xf numFmtId="0" fontId="89" fillId="0" borderId="0" xfId="0" quotePrefix="1" applyFont="1" applyBorder="1" applyAlignment="1">
      <alignment horizontal="right"/>
    </xf>
    <xf numFmtId="43" fontId="89" fillId="0" borderId="60" xfId="1" applyFont="1" applyBorder="1" applyProtection="1"/>
    <xf numFmtId="43" fontId="89" fillId="0" borderId="0" xfId="1" applyFont="1" applyFill="1" applyBorder="1" applyProtection="1"/>
    <xf numFmtId="7" fontId="89" fillId="0" borderId="72" xfId="0" applyNumberFormat="1" applyFont="1" applyFill="1" applyBorder="1" applyAlignment="1" applyProtection="1">
      <alignment horizontal="left"/>
    </xf>
    <xf numFmtId="0" fontId="89" fillId="0" borderId="3" xfId="0" applyFont="1" applyBorder="1"/>
    <xf numFmtId="43" fontId="108" fillId="0" borderId="73" xfId="1" applyFont="1" applyFill="1" applyBorder="1" applyProtection="1"/>
    <xf numFmtId="43" fontId="108" fillId="0" borderId="0" xfId="1" applyFont="1" applyFill="1" applyBorder="1" applyProtection="1"/>
    <xf numFmtId="7" fontId="89" fillId="0" borderId="74" xfId="0" applyNumberFormat="1" applyFont="1" applyBorder="1" applyAlignment="1" applyProtection="1">
      <alignment horizontal="left"/>
    </xf>
    <xf numFmtId="7" fontId="89" fillId="0" borderId="60" xfId="0" applyNumberFormat="1" applyFont="1" applyBorder="1" applyProtection="1"/>
    <xf numFmtId="7" fontId="89" fillId="0" borderId="0" xfId="0" applyNumberFormat="1" applyFont="1" applyFill="1" applyBorder="1" applyProtection="1"/>
    <xf numFmtId="7" fontId="89" fillId="0" borderId="61" xfId="0" applyNumberFormat="1" applyFont="1" applyFill="1" applyBorder="1" applyAlignment="1" applyProtection="1">
      <alignment horizontal="left"/>
    </xf>
    <xf numFmtId="0" fontId="89" fillId="0" borderId="2" xfId="0" applyFont="1" applyBorder="1"/>
    <xf numFmtId="10" fontId="89" fillId="25" borderId="62" xfId="0" applyNumberFormat="1" applyFont="1" applyFill="1" applyBorder="1" applyProtection="1"/>
    <xf numFmtId="10" fontId="89" fillId="0" borderId="0" xfId="0" applyNumberFormat="1" applyFont="1" applyFill="1" applyBorder="1" applyProtection="1"/>
    <xf numFmtId="0" fontId="89" fillId="0" borderId="63" xfId="0" applyFont="1" applyBorder="1" applyAlignment="1" applyProtection="1">
      <alignment horizontal="left"/>
    </xf>
    <xf numFmtId="0" fontId="89" fillId="0" borderId="41" xfId="0" applyFont="1" applyBorder="1"/>
    <xf numFmtId="44" fontId="89" fillId="0" borderId="64" xfId="5" applyFont="1" applyBorder="1" applyProtection="1"/>
    <xf numFmtId="0" fontId="89" fillId="0" borderId="4" xfId="0" applyFont="1" applyBorder="1" applyAlignment="1" applyProtection="1">
      <alignment horizontal="left"/>
    </xf>
    <xf numFmtId="171" fontId="89" fillId="0" borderId="0" xfId="134" applyFont="1" applyAlignment="1"/>
    <xf numFmtId="7" fontId="89" fillId="0" borderId="59" xfId="0" applyNumberFormat="1" applyFont="1" applyFill="1" applyBorder="1" applyAlignment="1" applyProtection="1">
      <alignment horizontal="left" wrapText="1"/>
    </xf>
    <xf numFmtId="7" fontId="89" fillId="0" borderId="22" xfId="0" applyNumberFormat="1" applyFont="1" applyBorder="1" applyAlignment="1" applyProtection="1">
      <alignment horizontal="left"/>
    </xf>
    <xf numFmtId="10" fontId="89" fillId="25" borderId="5" xfId="0" applyNumberFormat="1" applyFont="1" applyFill="1" applyBorder="1" applyProtection="1"/>
    <xf numFmtId="6" fontId="89" fillId="0" borderId="0" xfId="0" quotePrefix="1" applyNumberFormat="1" applyFont="1" applyBorder="1" applyAlignment="1">
      <alignment horizontal="right"/>
    </xf>
    <xf numFmtId="7" fontId="89" fillId="0" borderId="0" xfId="0" applyNumberFormat="1" applyFont="1" applyFill="1" applyBorder="1" applyAlignment="1" applyProtection="1">
      <alignment horizontal="center"/>
    </xf>
    <xf numFmtId="7" fontId="89" fillId="0" borderId="77" xfId="0" quotePrefix="1" applyNumberFormat="1" applyFont="1" applyFill="1" applyBorder="1" applyAlignment="1" applyProtection="1">
      <alignment horizontal="left"/>
    </xf>
    <xf numFmtId="0" fontId="89" fillId="0" borderId="79" xfId="0" applyFont="1" applyBorder="1" applyAlignment="1" applyProtection="1">
      <alignment horizontal="left"/>
    </xf>
    <xf numFmtId="43" fontId="89" fillId="0" borderId="80" xfId="1" applyFont="1" applyBorder="1" applyAlignment="1" applyProtection="1">
      <alignment horizontal="center"/>
    </xf>
    <xf numFmtId="43" fontId="89" fillId="0" borderId="0" xfId="1" applyFont="1" applyFill="1" applyBorder="1" applyAlignment="1" applyProtection="1">
      <alignment horizontal="center"/>
    </xf>
    <xf numFmtId="7" fontId="97" fillId="24" borderId="59" xfId="0" applyNumberFormat="1" applyFont="1" applyFill="1" applyBorder="1" applyAlignment="1" applyProtection="1">
      <alignment horizontal="left" wrapText="1"/>
    </xf>
    <xf numFmtId="0" fontId="89" fillId="0" borderId="0" xfId="0" applyFont="1" applyFill="1" applyBorder="1"/>
    <xf numFmtId="0" fontId="89" fillId="0" borderId="63" xfId="0" applyFont="1" applyBorder="1"/>
    <xf numFmtId="177" fontId="89" fillId="0" borderId="64" xfId="0" applyNumberFormat="1" applyFont="1" applyBorder="1"/>
    <xf numFmtId="0" fontId="89" fillId="0" borderId="59" xfId="0" applyFont="1" applyBorder="1"/>
    <xf numFmtId="177" fontId="89" fillId="0" borderId="60" xfId="0" applyNumberFormat="1" applyFont="1" applyBorder="1"/>
    <xf numFmtId="0" fontId="89" fillId="0" borderId="61" xfId="0" applyFont="1" applyBorder="1"/>
    <xf numFmtId="177" fontId="89" fillId="0" borderId="62" xfId="0" applyNumberFormat="1" applyFont="1" applyBorder="1"/>
    <xf numFmtId="7" fontId="124" fillId="33" borderId="66" xfId="0" applyNumberFormat="1" applyFont="1" applyFill="1" applyBorder="1" applyProtection="1"/>
    <xf numFmtId="0" fontId="124" fillId="33" borderId="66" xfId="0" applyFont="1" applyFill="1" applyBorder="1"/>
    <xf numFmtId="0" fontId="124" fillId="0" borderId="0" xfId="0" applyFont="1" applyFill="1" applyBorder="1" applyAlignment="1"/>
    <xf numFmtId="176" fontId="6" fillId="22" borderId="81" xfId="5" applyNumberFormat="1" applyFont="1" applyFill="1" applyBorder="1" applyProtection="1"/>
    <xf numFmtId="176" fontId="6" fillId="22" borderId="82" xfId="5" applyNumberFormat="1" applyFont="1" applyFill="1" applyBorder="1" applyProtection="1"/>
    <xf numFmtId="176" fontId="6" fillId="22" borderId="83" xfId="5" applyNumberFormat="1" applyFont="1" applyFill="1" applyBorder="1" applyProtection="1"/>
    <xf numFmtId="1" fontId="6" fillId="32" borderId="0" xfId="0" applyNumberFormat="1" applyFont="1" applyFill="1"/>
    <xf numFmtId="0" fontId="96" fillId="0" borderId="0" xfId="0" applyFont="1" applyAlignment="1">
      <alignment horizontal="center" vertical="center"/>
    </xf>
    <xf numFmtId="0" fontId="97" fillId="0" borderId="0" xfId="0" applyFont="1" applyAlignment="1"/>
    <xf numFmtId="0" fontId="33" fillId="0" borderId="22" xfId="139" applyFont="1" applyBorder="1" applyProtection="1"/>
    <xf numFmtId="0" fontId="33" fillId="0" borderId="13" xfId="139" applyFont="1" applyBorder="1" applyProtection="1"/>
    <xf numFmtId="0" fontId="34" fillId="0" borderId="13" xfId="139" applyFont="1" applyBorder="1" applyAlignment="1" applyProtection="1">
      <alignment horizontal="center"/>
    </xf>
    <xf numFmtId="0" fontId="34" fillId="0" borderId="13" xfId="139" applyFont="1" applyBorder="1" applyProtection="1"/>
    <xf numFmtId="0" fontId="33" fillId="0" borderId="19" xfId="139" applyFont="1" applyBorder="1" applyProtection="1"/>
    <xf numFmtId="0" fontId="33" fillId="0" borderId="4" xfId="139" applyFont="1" applyBorder="1" applyProtection="1"/>
    <xf numFmtId="0" fontId="34" fillId="0" borderId="0" xfId="139" applyFont="1" applyBorder="1" applyAlignment="1" applyProtection="1">
      <alignment horizontal="center"/>
    </xf>
    <xf numFmtId="0" fontId="34" fillId="0" borderId="0" xfId="139" applyFont="1" applyBorder="1" applyProtection="1"/>
    <xf numFmtId="0" fontId="33" fillId="0" borderId="5" xfId="139" applyFont="1" applyBorder="1" applyProtection="1"/>
    <xf numFmtId="0" fontId="33" fillId="3" borderId="0" xfId="139" applyFont="1" applyFill="1" applyBorder="1" applyProtection="1"/>
    <xf numFmtId="0" fontId="34" fillId="3" borderId="0" xfId="139" applyFont="1" applyFill="1" applyBorder="1" applyProtection="1"/>
    <xf numFmtId="0" fontId="36" fillId="3" borderId="0" xfId="139" applyFont="1" applyFill="1" applyBorder="1" applyProtection="1"/>
    <xf numFmtId="0" fontId="36" fillId="3" borderId="4" xfId="139" applyFont="1" applyFill="1" applyBorder="1" applyProtection="1"/>
    <xf numFmtId="0" fontId="36" fillId="3" borderId="5" xfId="139" applyFont="1" applyFill="1" applyBorder="1" applyProtection="1"/>
    <xf numFmtId="0" fontId="34" fillId="3" borderId="4" xfId="139" applyFont="1" applyFill="1" applyBorder="1" applyAlignment="1" applyProtection="1">
      <alignment horizontal="right"/>
    </xf>
    <xf numFmtId="0" fontId="34" fillId="3" borderId="0" xfId="139" applyFont="1" applyFill="1" applyBorder="1" applyAlignment="1" applyProtection="1">
      <alignment horizontal="right"/>
    </xf>
    <xf numFmtId="0" fontId="35" fillId="3" borderId="0" xfId="139" applyFont="1" applyFill="1" applyBorder="1" applyAlignment="1" applyProtection="1">
      <alignment horizontal="right"/>
    </xf>
    <xf numFmtId="0" fontId="34" fillId="3" borderId="5" xfId="139" applyFont="1" applyFill="1" applyBorder="1" applyAlignment="1" applyProtection="1">
      <alignment horizontal="right"/>
    </xf>
    <xf numFmtId="0" fontId="38" fillId="22" borderId="22" xfId="139" applyFont="1" applyFill="1" applyBorder="1" applyProtection="1">
      <protection locked="0"/>
    </xf>
    <xf numFmtId="0" fontId="38" fillId="0" borderId="0" xfId="139" applyFont="1" applyBorder="1" applyProtection="1"/>
    <xf numFmtId="2" fontId="38" fillId="4" borderId="19" xfId="139" applyNumberFormat="1" applyFont="1" applyFill="1" applyBorder="1" applyProtection="1"/>
    <xf numFmtId="0" fontId="37" fillId="4" borderId="56" xfId="139" applyFont="1" applyFill="1" applyBorder="1" applyProtection="1"/>
    <xf numFmtId="2" fontId="37" fillId="4" borderId="52" xfId="139" applyNumberFormat="1" applyFont="1" applyFill="1" applyBorder="1" applyProtection="1"/>
    <xf numFmtId="2" fontId="33" fillId="0" borderId="0" xfId="139" applyNumberFormat="1" applyFont="1" applyBorder="1" applyProtection="1"/>
    <xf numFmtId="2" fontId="33" fillId="0" borderId="5" xfId="139" applyNumberFormat="1" applyFont="1" applyBorder="1" applyProtection="1"/>
    <xf numFmtId="0" fontId="39" fillId="0" borderId="4" xfId="139" applyFont="1" applyBorder="1" applyProtection="1"/>
    <xf numFmtId="2" fontId="39" fillId="0" borderId="0" xfId="139" applyNumberFormat="1" applyFont="1" applyBorder="1" applyProtection="1"/>
    <xf numFmtId="0" fontId="39" fillId="0" borderId="0" xfId="139" applyFont="1" applyBorder="1" applyProtection="1"/>
    <xf numFmtId="0" fontId="39" fillId="0" borderId="5" xfId="139" applyFont="1" applyBorder="1" applyProtection="1"/>
    <xf numFmtId="0" fontId="39" fillId="22" borderId="4" xfId="139" applyFont="1" applyFill="1" applyBorder="1" applyProtection="1"/>
    <xf numFmtId="2" fontId="39" fillId="22" borderId="0" xfId="139" applyNumberFormat="1" applyFont="1" applyFill="1" applyBorder="1" applyProtection="1"/>
    <xf numFmtId="0" fontId="39" fillId="22" borderId="0" xfId="139" applyFont="1" applyFill="1" applyBorder="1" applyProtection="1"/>
    <xf numFmtId="0" fontId="28" fillId="0" borderId="4" xfId="139" applyFont="1" applyBorder="1" applyProtection="1"/>
    <xf numFmtId="0" fontId="28" fillId="0" borderId="0" xfId="139" applyFont="1" applyBorder="1" applyAlignment="1" applyProtection="1">
      <alignment horizontal="right" vertical="center"/>
    </xf>
    <xf numFmtId="0" fontId="28" fillId="0" borderId="0" xfId="139" applyFont="1" applyBorder="1" applyProtection="1"/>
    <xf numFmtId="0" fontId="28" fillId="0" borderId="4" xfId="139" applyFont="1" applyBorder="1" applyAlignment="1" applyProtection="1">
      <alignment horizontal="left" indent="8"/>
    </xf>
    <xf numFmtId="0" fontId="28" fillId="0" borderId="0" xfId="139" applyFont="1" applyBorder="1" applyAlignment="1" applyProtection="1">
      <alignment horizontal="left" indent="8"/>
    </xf>
    <xf numFmtId="0" fontId="37" fillId="0" borderId="0" xfId="139" applyFont="1" applyBorder="1" applyProtection="1"/>
    <xf numFmtId="0" fontId="32" fillId="0" borderId="0" xfId="139" applyBorder="1" applyProtection="1"/>
    <xf numFmtId="2" fontId="32" fillId="0" borderId="0" xfId="139" applyNumberFormat="1" applyBorder="1" applyProtection="1"/>
    <xf numFmtId="0" fontId="33" fillId="0" borderId="6" xfId="139" applyFont="1" applyBorder="1" applyProtection="1"/>
    <xf numFmtId="0" fontId="32" fillId="0" borderId="3" xfId="139" applyBorder="1" applyProtection="1"/>
    <xf numFmtId="0" fontId="33" fillId="0" borderId="7" xfId="139" applyFont="1" applyBorder="1" applyProtection="1"/>
    <xf numFmtId="0" fontId="127" fillId="0" borderId="57" xfId="0" applyFont="1" applyFill="1" applyBorder="1" applyProtection="1"/>
    <xf numFmtId="0" fontId="127" fillId="0" borderId="47" xfId="0" applyFont="1" applyFill="1" applyBorder="1" applyProtection="1"/>
    <xf numFmtId="0" fontId="127" fillId="0" borderId="58" xfId="0" applyFont="1" applyBorder="1" applyProtection="1"/>
    <xf numFmtId="0" fontId="127" fillId="23" borderId="59" xfId="0" applyFont="1" applyFill="1" applyBorder="1" applyProtection="1"/>
    <xf numFmtId="0" fontId="127" fillId="0" borderId="0" xfId="0" applyFont="1" applyFill="1" applyBorder="1" applyProtection="1"/>
    <xf numFmtId="0" fontId="127" fillId="0" borderId="60" xfId="0" applyFont="1" applyBorder="1" applyProtection="1"/>
    <xf numFmtId="0" fontId="127" fillId="0" borderId="61" xfId="0" applyFont="1" applyFill="1" applyBorder="1" applyProtection="1"/>
    <xf numFmtId="0" fontId="127" fillId="0" borderId="2" xfId="0" applyFont="1" applyFill="1" applyBorder="1" applyProtection="1"/>
    <xf numFmtId="0" fontId="127" fillId="0" borderId="62" xfId="0" applyFont="1" applyBorder="1" applyProtection="1"/>
    <xf numFmtId="0" fontId="47" fillId="9" borderId="3" xfId="0" applyFont="1" applyFill="1" applyBorder="1"/>
    <xf numFmtId="7" fontId="108" fillId="0" borderId="73" xfId="1" applyNumberFormat="1" applyFont="1" applyFill="1" applyBorder="1" applyProtection="1"/>
    <xf numFmtId="7" fontId="89" fillId="0" borderId="0" xfId="0" quotePrefix="1" applyNumberFormat="1" applyFont="1" applyFill="1" applyBorder="1" applyAlignment="1" applyProtection="1">
      <alignment horizontal="left"/>
    </xf>
    <xf numFmtId="0" fontId="89" fillId="0" borderId="0" xfId="0" applyFont="1" applyBorder="1" applyAlignment="1">
      <alignment horizontal="right"/>
    </xf>
    <xf numFmtId="0" fontId="97" fillId="34" borderId="4" xfId="0" applyFont="1" applyFill="1" applyBorder="1" applyAlignment="1" applyProtection="1">
      <alignment horizontal="right" vertical="top"/>
      <protection locked="0"/>
    </xf>
    <xf numFmtId="4" fontId="97" fillId="34" borderId="0" xfId="0" applyNumberFormat="1" applyFont="1" applyFill="1" applyBorder="1" applyAlignment="1" applyProtection="1">
      <alignment horizontal="right" vertical="top"/>
      <protection locked="0"/>
    </xf>
    <xf numFmtId="2" fontId="97" fillId="34" borderId="0" xfId="0" applyNumberFormat="1" applyFont="1" applyFill="1" applyBorder="1" applyAlignment="1" applyProtection="1">
      <alignment horizontal="right" vertical="top"/>
      <protection locked="0"/>
    </xf>
    <xf numFmtId="10" fontId="97" fillId="34" borderId="0" xfId="0" applyNumberFormat="1" applyFont="1" applyFill="1" applyBorder="1" applyAlignment="1" applyProtection="1">
      <alignment horizontal="center" vertical="top"/>
      <protection locked="0"/>
    </xf>
    <xf numFmtId="0" fontId="97" fillId="34" borderId="0" xfId="0" applyFont="1" applyFill="1" applyBorder="1" applyAlignment="1" applyProtection="1">
      <alignment vertical="top"/>
      <protection locked="0"/>
    </xf>
    <xf numFmtId="0" fontId="103" fillId="34" borderId="0" xfId="0" applyFont="1" applyFill="1" applyBorder="1" applyAlignment="1" applyProtection="1">
      <alignment horizontal="right" vertical="top"/>
      <protection locked="0"/>
    </xf>
    <xf numFmtId="41" fontId="97" fillId="34" borderId="42" xfId="0" applyNumberFormat="1" applyFont="1" applyFill="1" applyBorder="1" applyAlignment="1" applyProtection="1">
      <alignment vertical="top"/>
    </xf>
    <xf numFmtId="41" fontId="97" fillId="34" borderId="0" xfId="0" applyNumberFormat="1" applyFont="1" applyFill="1" applyBorder="1" applyAlignment="1" applyProtection="1">
      <alignment vertical="top"/>
    </xf>
    <xf numFmtId="0" fontId="97" fillId="34" borderId="4" xfId="0" applyFont="1" applyFill="1" applyBorder="1" applyAlignment="1" applyProtection="1">
      <alignment horizontal="left" vertical="top"/>
      <protection locked="0"/>
    </xf>
    <xf numFmtId="7" fontId="89" fillId="0" borderId="59" xfId="0" applyNumberFormat="1" applyFont="1" applyFill="1" applyBorder="1" applyAlignment="1" applyProtection="1">
      <alignment horizontal="left"/>
    </xf>
    <xf numFmtId="43" fontId="108" fillId="0" borderId="60" xfId="1" applyFont="1" applyFill="1" applyBorder="1" applyProtection="1"/>
    <xf numFmtId="179" fontId="89" fillId="0" borderId="0" xfId="0" quotePrefix="1" applyNumberFormat="1" applyFont="1" applyBorder="1" applyAlignment="1">
      <alignment horizontal="right"/>
    </xf>
    <xf numFmtId="0" fontId="18" fillId="9" borderId="0" xfId="0" applyFont="1" applyFill="1" applyAlignment="1">
      <alignment horizontal="center"/>
    </xf>
    <xf numFmtId="0" fontId="138" fillId="9" borderId="0" xfId="0" applyFont="1" applyFill="1" applyAlignment="1">
      <alignment horizontal="center"/>
    </xf>
    <xf numFmtId="0" fontId="18" fillId="9" borderId="0" xfId="0" applyFont="1" applyFill="1" applyAlignment="1">
      <alignment horizontal="center"/>
    </xf>
    <xf numFmtId="0" fontId="19" fillId="9" borderId="0" xfId="0" applyFont="1" applyFill="1" applyAlignment="1">
      <alignment horizontal="center"/>
    </xf>
    <xf numFmtId="0" fontId="20" fillId="9" borderId="0" xfId="0" applyFont="1" applyFill="1" applyAlignment="1" applyProtection="1">
      <alignment horizontal="centerContinuous"/>
    </xf>
    <xf numFmtId="0" fontId="21" fillId="9" borderId="0" xfId="0" applyFont="1" applyFill="1" applyAlignment="1">
      <alignment horizontal="centerContinuous"/>
    </xf>
    <xf numFmtId="0" fontId="21" fillId="9" borderId="0" xfId="0" applyFont="1" applyFill="1" applyAlignment="1">
      <alignment horizontal="left"/>
    </xf>
    <xf numFmtId="0" fontId="22" fillId="9" borderId="0" xfId="0" applyFont="1" applyFill="1" applyBorder="1"/>
    <xf numFmtId="0" fontId="23" fillId="9" borderId="0" xfId="0" applyFont="1" applyFill="1" applyBorder="1" applyAlignment="1" applyProtection="1">
      <alignment horizontal="center"/>
    </xf>
    <xf numFmtId="0" fontId="24" fillId="9" borderId="0" xfId="0" applyFont="1" applyFill="1" applyBorder="1" applyAlignment="1" applyProtection="1">
      <alignment horizontal="right"/>
    </xf>
    <xf numFmtId="0" fontId="22" fillId="9" borderId="0" xfId="0" quotePrefix="1" applyFont="1" applyFill="1" applyBorder="1" applyAlignment="1" applyProtection="1">
      <alignment horizontal="left"/>
    </xf>
    <xf numFmtId="167" fontId="22" fillId="9" borderId="0" xfId="0" applyNumberFormat="1" applyFont="1" applyFill="1" applyBorder="1" applyProtection="1"/>
    <xf numFmtId="0" fontId="22" fillId="9" borderId="0" xfId="0" quotePrefix="1" applyFont="1" applyFill="1" applyBorder="1" applyAlignment="1" applyProtection="1">
      <alignment horizontal="center"/>
    </xf>
    <xf numFmtId="16" fontId="24" fillId="9" borderId="0" xfId="0" quotePrefix="1" applyNumberFormat="1" applyFont="1" applyFill="1" applyBorder="1" applyAlignment="1" applyProtection="1">
      <alignment horizontal="right"/>
    </xf>
    <xf numFmtId="0" fontId="22" fillId="9" borderId="0" xfId="0" applyFont="1" applyFill="1" applyBorder="1" applyAlignment="1" applyProtection="1">
      <alignment horizontal="left"/>
    </xf>
    <xf numFmtId="0" fontId="24" fillId="9" borderId="0" xfId="0" applyFont="1" applyFill="1" applyBorder="1"/>
    <xf numFmtId="7" fontId="22" fillId="9" borderId="0" xfId="0" applyNumberFormat="1" applyFont="1" applyFill="1" applyBorder="1" applyProtection="1"/>
    <xf numFmtId="178" fontId="22" fillId="9" borderId="0" xfId="1" applyNumberFormat="1" applyFont="1" applyFill="1" applyBorder="1" applyProtection="1"/>
    <xf numFmtId="0" fontId="25" fillId="9" borderId="0" xfId="0" applyFont="1" applyFill="1" applyBorder="1" applyAlignment="1" applyProtection="1">
      <alignment horizontal="left"/>
    </xf>
    <xf numFmtId="0" fontId="21" fillId="9" borderId="0" xfId="0" applyFont="1" applyFill="1" applyBorder="1" applyAlignment="1">
      <alignment horizontal="centerContinuous"/>
    </xf>
    <xf numFmtId="0" fontId="22" fillId="9" borderId="0" xfId="0" applyFont="1" applyFill="1" applyAlignment="1">
      <alignment horizontal="centerContinuous"/>
    </xf>
    <xf numFmtId="0" fontId="22" fillId="9" borderId="0" xfId="0" applyFont="1" applyFill="1" applyBorder="1" applyAlignment="1">
      <alignment horizontal="centerContinuous"/>
    </xf>
    <xf numFmtId="0" fontId="22" fillId="9" borderId="0" xfId="0" applyFont="1" applyFill="1"/>
    <xf numFmtId="0" fontId="25" fillId="9" borderId="0" xfId="0" quotePrefix="1" applyFont="1" applyFill="1" applyBorder="1" applyAlignment="1" applyProtection="1">
      <alignment horizontal="left"/>
    </xf>
    <xf numFmtId="0" fontId="25" fillId="9" borderId="0" xfId="0" applyFont="1" applyFill="1" applyBorder="1" applyAlignment="1" applyProtection="1">
      <alignment horizontal="centerContinuous"/>
    </xf>
    <xf numFmtId="0" fontId="26" fillId="9" borderId="0" xfId="0" applyFont="1" applyFill="1" applyBorder="1"/>
    <xf numFmtId="0" fontId="26" fillId="9" borderId="0" xfId="0" applyFont="1" applyFill="1" applyBorder="1" applyAlignment="1" applyProtection="1">
      <alignment horizontal="left"/>
    </xf>
    <xf numFmtId="0" fontId="134" fillId="9" borderId="0" xfId="0" applyFont="1" applyFill="1" applyBorder="1" applyAlignment="1" applyProtection="1">
      <alignment horizontal="left"/>
    </xf>
    <xf numFmtId="10" fontId="26" fillId="9" borderId="0" xfId="0" applyNumberFormat="1" applyFont="1" applyFill="1" applyBorder="1" applyAlignment="1" applyProtection="1">
      <alignment horizontal="left"/>
    </xf>
    <xf numFmtId="0" fontId="17" fillId="9" borderId="3" xfId="230" applyFill="1" applyBorder="1"/>
    <xf numFmtId="0" fontId="21" fillId="9" borderId="0" xfId="0" applyFont="1" applyFill="1"/>
    <xf numFmtId="0" fontId="28" fillId="9" borderId="0" xfId="0" applyFont="1" applyFill="1"/>
    <xf numFmtId="0" fontId="28" fillId="9" borderId="0" xfId="230" applyFont="1" applyFill="1"/>
    <xf numFmtId="0" fontId="17" fillId="9" borderId="0" xfId="230" applyFill="1"/>
    <xf numFmtId="0" fontId="137" fillId="9" borderId="0" xfId="230" applyFont="1" applyFill="1"/>
    <xf numFmtId="14" fontId="137" fillId="9" borderId="0" xfId="230" applyNumberFormat="1" applyFont="1" applyFill="1"/>
    <xf numFmtId="41" fontId="97" fillId="17" borderId="41" xfId="0" applyNumberFormat="1" applyFont="1" applyFill="1" applyBorder="1" applyAlignment="1" applyProtection="1">
      <alignment vertical="top"/>
      <protection locked="0"/>
    </xf>
    <xf numFmtId="0" fontId="96" fillId="30" borderId="4" xfId="0" applyFont="1" applyFill="1" applyBorder="1" applyAlignment="1" applyProtection="1">
      <alignment vertical="top"/>
      <protection locked="0"/>
    </xf>
    <xf numFmtId="0" fontId="96" fillId="30" borderId="0" xfId="0" applyFont="1" applyFill="1" applyBorder="1" applyAlignment="1" applyProtection="1">
      <alignment horizontal="center" vertical="top"/>
      <protection locked="0"/>
    </xf>
    <xf numFmtId="0" fontId="103" fillId="30" borderId="0" xfId="0" applyFont="1" applyFill="1" applyBorder="1" applyAlignment="1" applyProtection="1">
      <alignment horizontal="right" vertical="top"/>
      <protection locked="0"/>
    </xf>
    <xf numFmtId="165" fontId="96" fillId="30" borderId="0" xfId="0" applyNumberFormat="1" applyFont="1" applyFill="1" applyBorder="1" applyAlignment="1" applyProtection="1">
      <alignment horizontal="right" vertical="top"/>
      <protection locked="0"/>
    </xf>
    <xf numFmtId="41" fontId="97" fillId="30" borderId="0" xfId="0" applyNumberFormat="1" applyFont="1" applyFill="1" applyBorder="1" applyAlignment="1" applyProtection="1">
      <alignment vertical="top"/>
      <protection locked="0"/>
    </xf>
    <xf numFmtId="41" fontId="97" fillId="30" borderId="5" xfId="0" applyNumberFormat="1" applyFont="1" applyFill="1" applyBorder="1" applyAlignment="1" applyProtection="1">
      <alignment vertical="top"/>
      <protection locked="0"/>
    </xf>
    <xf numFmtId="41" fontId="97" fillId="18" borderId="5" xfId="0" applyNumberFormat="1" applyFont="1" applyFill="1" applyBorder="1" applyAlignment="1" applyProtection="1">
      <alignment vertical="top"/>
    </xf>
    <xf numFmtId="41" fontId="97" fillId="30" borderId="44" xfId="0" applyNumberFormat="1" applyFont="1" applyFill="1" applyBorder="1" applyAlignment="1" applyProtection="1">
      <alignment vertical="top"/>
      <protection locked="0"/>
    </xf>
    <xf numFmtId="41" fontId="97" fillId="30" borderId="40" xfId="0" applyNumberFormat="1" applyFont="1" applyFill="1" applyBorder="1" applyAlignment="1" applyProtection="1">
      <alignment vertical="top"/>
      <protection locked="0"/>
    </xf>
    <xf numFmtId="0" fontId="97" fillId="22" borderId="54" xfId="0" applyFont="1" applyFill="1" applyBorder="1" applyAlignment="1" applyProtection="1">
      <alignment vertical="top"/>
      <protection locked="0"/>
    </xf>
    <xf numFmtId="0" fontId="97" fillId="22" borderId="71" xfId="0" applyFont="1" applyFill="1" applyBorder="1" applyAlignment="1" applyProtection="1">
      <alignment vertical="top"/>
      <protection locked="0"/>
    </xf>
    <xf numFmtId="0" fontId="96" fillId="22" borderId="63" xfId="0" applyFont="1" applyFill="1" applyBorder="1" applyAlignment="1" applyProtection="1">
      <alignment vertical="top"/>
      <protection locked="0"/>
    </xf>
    <xf numFmtId="0" fontId="96" fillId="22" borderId="64" xfId="0" applyFont="1" applyFill="1" applyBorder="1" applyAlignment="1" applyProtection="1">
      <alignment vertical="top"/>
      <protection locked="0"/>
    </xf>
    <xf numFmtId="0" fontId="96" fillId="22" borderId="59" xfId="0" applyFont="1" applyFill="1" applyBorder="1" applyAlignment="1" applyProtection="1">
      <alignment vertical="top"/>
      <protection locked="0"/>
    </xf>
    <xf numFmtId="0" fontId="96" fillId="22" borderId="60" xfId="0" applyFont="1" applyFill="1" applyBorder="1" applyAlignment="1" applyProtection="1">
      <alignment vertical="top"/>
      <protection locked="0"/>
    </xf>
    <xf numFmtId="0" fontId="139" fillId="22" borderId="66" xfId="0" applyFont="1" applyFill="1" applyBorder="1" applyAlignment="1" applyProtection="1">
      <alignment vertical="top"/>
      <protection locked="0"/>
    </xf>
    <xf numFmtId="0" fontId="139" fillId="0" borderId="6" xfId="0" applyFont="1" applyFill="1" applyBorder="1" applyAlignment="1" applyProtection="1">
      <alignment horizontal="left" vertical="top"/>
      <protection locked="0"/>
    </xf>
    <xf numFmtId="0" fontId="3" fillId="22" borderId="65" xfId="9" applyFill="1" applyBorder="1" applyAlignment="1" applyProtection="1">
      <alignment vertical="top"/>
      <protection locked="0"/>
    </xf>
    <xf numFmtId="0" fontId="114" fillId="0" borderId="0" xfId="0" applyFont="1" applyFill="1" applyAlignment="1" applyProtection="1">
      <alignment vertical="top"/>
      <protection locked="0"/>
    </xf>
    <xf numFmtId="0" fontId="0" fillId="9" borderId="0" xfId="0" applyFill="1"/>
    <xf numFmtId="0" fontId="96" fillId="22" borderId="81" xfId="0" applyFont="1" applyFill="1" applyBorder="1" applyAlignment="1" applyProtection="1">
      <alignment vertical="top"/>
      <protection locked="0"/>
    </xf>
    <xf numFmtId="0" fontId="96" fillId="22" borderId="82" xfId="0" applyFont="1" applyFill="1" applyBorder="1" applyAlignment="1" applyProtection="1">
      <alignment vertical="top"/>
      <protection locked="0"/>
    </xf>
    <xf numFmtId="0" fontId="96" fillId="22" borderId="83" xfId="0" applyFont="1" applyFill="1" applyBorder="1" applyAlignment="1" applyProtection="1">
      <alignment vertical="top"/>
      <protection locked="0"/>
    </xf>
    <xf numFmtId="0" fontId="97" fillId="22" borderId="61" xfId="0" applyFont="1" applyFill="1" applyBorder="1" applyAlignment="1" applyProtection="1">
      <alignment vertical="top"/>
      <protection locked="0"/>
    </xf>
    <xf numFmtId="0" fontId="97" fillId="22" borderId="62" xfId="0" applyFont="1" applyFill="1" applyBorder="1" applyAlignment="1" applyProtection="1">
      <alignment vertical="top"/>
      <protection locked="0"/>
    </xf>
    <xf numFmtId="0" fontId="47" fillId="0" borderId="32" xfId="0" applyFont="1" applyBorder="1" applyAlignment="1">
      <alignment horizontal="center"/>
    </xf>
    <xf numFmtId="0" fontId="47" fillId="0" borderId="0" xfId="0" applyFont="1" applyAlignment="1">
      <alignment horizontal="center"/>
    </xf>
    <xf numFmtId="0" fontId="47" fillId="0" borderId="33" xfId="0" quotePrefix="1" applyFont="1" applyBorder="1" applyAlignment="1">
      <alignment horizontal="left"/>
    </xf>
    <xf numFmtId="0" fontId="47" fillId="0" borderId="0" xfId="0" applyFont="1" applyAlignment="1">
      <alignment horizontal="left"/>
    </xf>
    <xf numFmtId="0" fontId="47" fillId="0" borderId="0" xfId="0" applyFont="1"/>
    <xf numFmtId="0" fontId="47" fillId="0" borderId="34" xfId="0" applyFont="1" applyBorder="1" applyAlignment="1">
      <alignment horizontal="center"/>
    </xf>
    <xf numFmtId="0" fontId="47" fillId="0" borderId="35" xfId="0" applyFont="1" applyBorder="1" applyAlignment="1">
      <alignment horizontal="center"/>
    </xf>
    <xf numFmtId="0" fontId="47" fillId="0" borderId="33" xfId="0" applyFont="1" applyBorder="1" applyAlignment="1">
      <alignment horizontal="left"/>
    </xf>
    <xf numFmtId="0" fontId="56" fillId="0" borderId="34" xfId="0" applyFont="1" applyBorder="1" applyAlignment="1">
      <alignment horizontal="center"/>
    </xf>
    <xf numFmtId="0" fontId="47" fillId="0" borderId="0" xfId="0" quotePrefix="1" applyFont="1" applyAlignment="1">
      <alignment horizontal="left"/>
    </xf>
    <xf numFmtId="0" fontId="47" fillId="0" borderId="36" xfId="0" applyFont="1" applyBorder="1" applyAlignment="1">
      <alignment horizontal="center"/>
    </xf>
    <xf numFmtId="0" fontId="47" fillId="0" borderId="3" xfId="0" applyFont="1" applyBorder="1" applyAlignment="1">
      <alignment horizontal="center"/>
    </xf>
    <xf numFmtId="0" fontId="47" fillId="0" borderId="37" xfId="0" applyFont="1" applyBorder="1" applyAlignment="1">
      <alignment horizontal="left"/>
    </xf>
    <xf numFmtId="0" fontId="47" fillId="0" borderId="3" xfId="0" applyFont="1" applyBorder="1" applyAlignment="1">
      <alignment horizontal="left"/>
    </xf>
    <xf numFmtId="0" fontId="47" fillId="0" borderId="3" xfId="0" applyFont="1" applyBorder="1"/>
    <xf numFmtId="0" fontId="47" fillId="0" borderId="38" xfId="0" applyFont="1" applyBorder="1" applyAlignment="1">
      <alignment horizontal="center"/>
    </xf>
    <xf numFmtId="0" fontId="47" fillId="0" borderId="39" xfId="0" applyFont="1" applyBorder="1" applyAlignment="1">
      <alignment horizontal="center"/>
    </xf>
    <xf numFmtId="0" fontId="58" fillId="9" borderId="0" xfId="0" applyFont="1" applyFill="1"/>
    <xf numFmtId="0" fontId="47" fillId="9" borderId="0" xfId="0" applyFont="1" applyFill="1"/>
    <xf numFmtId="0" fontId="59" fillId="9" borderId="4" xfId="0" applyFont="1" applyFill="1" applyBorder="1"/>
    <xf numFmtId="0" fontId="60" fillId="9" borderId="4" xfId="0" quotePrefix="1" applyFont="1" applyFill="1" applyBorder="1" applyAlignment="1">
      <alignment horizontal="left"/>
    </xf>
    <xf numFmtId="0" fontId="43" fillId="9" borderId="4" xfId="0" applyFont="1" applyFill="1" applyBorder="1"/>
    <xf numFmtId="0" fontId="43" fillId="9" borderId="0" xfId="0" applyFont="1" applyFill="1"/>
    <xf numFmtId="0" fontId="43" fillId="9" borderId="6" xfId="0" applyFont="1" applyFill="1" applyBorder="1"/>
    <xf numFmtId="0" fontId="43" fillId="9" borderId="3" xfId="0" applyFont="1" applyFill="1" applyBorder="1"/>
    <xf numFmtId="0" fontId="58" fillId="9" borderId="3" xfId="0" applyFont="1" applyFill="1" applyBorder="1"/>
    <xf numFmtId="0" fontId="56" fillId="9" borderId="0" xfId="0" applyFont="1" applyFill="1" applyAlignment="1">
      <alignment horizontal="right"/>
    </xf>
    <xf numFmtId="0" fontId="47" fillId="9" borderId="0" xfId="0" applyFont="1" applyFill="1" applyAlignment="1">
      <alignment horizontal="left"/>
    </xf>
    <xf numFmtId="0" fontId="56" fillId="9" borderId="0" xfId="0" applyFont="1" applyFill="1"/>
    <xf numFmtId="0" fontId="140" fillId="9" borderId="0" xfId="0" applyFont="1" applyFill="1" applyAlignment="1">
      <alignment horizontal="left" indent="6"/>
    </xf>
    <xf numFmtId="0" fontId="43" fillId="9" borderId="0" xfId="0" applyFont="1" applyFill="1" applyAlignment="1">
      <alignment horizontal="left" indent="6"/>
    </xf>
    <xf numFmtId="0" fontId="47" fillId="9" borderId="0" xfId="0" applyFont="1" applyFill="1" applyAlignment="1">
      <alignment horizontal="left" indent="6"/>
    </xf>
    <xf numFmtId="167" fontId="25" fillId="35" borderId="0" xfId="0" applyNumberFormat="1" applyFont="1" applyFill="1" applyAlignment="1">
      <alignment horizontal="right"/>
    </xf>
    <xf numFmtId="167" fontId="25" fillId="9" borderId="0" xfId="0" applyNumberFormat="1" applyFont="1" applyFill="1" applyAlignment="1">
      <alignment horizontal="right"/>
    </xf>
    <xf numFmtId="167" fontId="25" fillId="9" borderId="0" xfId="0" applyNumberFormat="1" applyFont="1" applyFill="1" applyAlignment="1">
      <alignment horizontal="center"/>
    </xf>
    <xf numFmtId="165" fontId="22" fillId="9" borderId="0" xfId="0" applyNumberFormat="1" applyFont="1" applyFill="1" applyAlignment="1">
      <alignment horizontal="right"/>
    </xf>
    <xf numFmtId="165" fontId="22" fillId="9" borderId="0" xfId="0" applyNumberFormat="1" applyFont="1" applyFill="1"/>
    <xf numFmtId="165" fontId="22" fillId="9" borderId="0" xfId="0" applyNumberFormat="1" applyFont="1" applyFill="1" applyAlignment="1">
      <alignment horizontal="center"/>
    </xf>
    <xf numFmtId="165" fontId="135" fillId="9" borderId="0" xfId="0" applyNumberFormat="1" applyFont="1" applyFill="1" applyAlignment="1">
      <alignment horizontal="right"/>
    </xf>
    <xf numFmtId="165" fontId="135" fillId="9" borderId="0" xfId="0" applyNumberFormat="1" applyFont="1" applyFill="1" applyAlignment="1">
      <alignment horizontal="center"/>
    </xf>
    <xf numFmtId="0" fontId="21" fillId="9" borderId="0" xfId="0" applyFont="1" applyFill="1" applyAlignment="1">
      <alignment horizontal="center"/>
    </xf>
    <xf numFmtId="165" fontId="21" fillId="9" borderId="0" xfId="0" applyNumberFormat="1" applyFont="1" applyFill="1" applyAlignment="1">
      <alignment horizontal="center"/>
    </xf>
    <xf numFmtId="10" fontId="26" fillId="9" borderId="0" xfId="0" applyNumberFormat="1" applyFont="1" applyFill="1" applyAlignment="1">
      <alignment horizontal="left"/>
    </xf>
    <xf numFmtId="165" fontId="21" fillId="9" borderId="0" xfId="0" applyNumberFormat="1" applyFont="1" applyFill="1"/>
    <xf numFmtId="165" fontId="21" fillId="9" borderId="0" xfId="0" applyNumberFormat="1" applyFont="1" applyFill="1" applyAlignment="1">
      <alignment horizontal="left" indent="1"/>
    </xf>
    <xf numFmtId="165" fontId="22" fillId="9" borderId="0" xfId="0" applyNumberFormat="1" applyFont="1" applyFill="1" applyAlignment="1">
      <alignment horizontal="left"/>
    </xf>
    <xf numFmtId="10" fontId="22" fillId="9" borderId="0" xfId="0" applyNumberFormat="1" applyFont="1" applyFill="1"/>
    <xf numFmtId="0" fontId="28" fillId="9" borderId="0" xfId="0" applyFont="1" applyFill="1" applyAlignment="1">
      <alignment horizontal="left"/>
    </xf>
    <xf numFmtId="10" fontId="28" fillId="9" borderId="0" xfId="0" applyNumberFormat="1" applyFont="1" applyFill="1"/>
    <xf numFmtId="0" fontId="42" fillId="9" borderId="0" xfId="0" applyFont="1" applyFill="1"/>
    <xf numFmtId="0" fontId="136" fillId="9" borderId="0" xfId="0" applyFont="1" applyFill="1" applyAlignment="1">
      <alignment horizontal="left"/>
    </xf>
    <xf numFmtId="0" fontId="29" fillId="9" borderId="0" xfId="0" applyFont="1" applyFill="1"/>
    <xf numFmtId="0" fontId="97" fillId="22" borderId="63" xfId="0" applyFont="1" applyFill="1" applyBorder="1" applyAlignment="1" applyProtection="1">
      <alignment vertical="top"/>
      <protection locked="0"/>
    </xf>
    <xf numFmtId="0" fontId="97" fillId="22" borderId="41" xfId="0" applyFont="1" applyFill="1" applyBorder="1" applyAlignment="1" applyProtection="1">
      <alignment vertical="top"/>
      <protection locked="0"/>
    </xf>
    <xf numFmtId="0" fontId="97" fillId="22" borderId="64" xfId="0" applyFont="1" applyFill="1" applyBorder="1" applyAlignment="1" applyProtection="1">
      <alignment vertical="top"/>
      <protection locked="0"/>
    </xf>
    <xf numFmtId="0" fontId="3" fillId="22" borderId="61" xfId="9" applyFill="1" applyBorder="1" applyAlignment="1" applyProtection="1">
      <alignment vertical="top"/>
      <protection locked="0"/>
    </xf>
    <xf numFmtId="0" fontId="97" fillId="22" borderId="2" xfId="0" applyFont="1" applyFill="1" applyBorder="1" applyAlignment="1" applyProtection="1">
      <alignment vertical="top"/>
      <protection locked="0"/>
    </xf>
    <xf numFmtId="0" fontId="18" fillId="9" borderId="0" xfId="0" applyFont="1" applyFill="1" applyAlignment="1">
      <alignment horizontal="center"/>
    </xf>
    <xf numFmtId="167" fontId="26" fillId="9" borderId="0" xfId="0" applyNumberFormat="1" applyFont="1" applyFill="1" applyAlignment="1">
      <alignment horizontal="center"/>
    </xf>
    <xf numFmtId="0" fontId="26" fillId="9" borderId="0" xfId="0" applyFont="1" applyFill="1"/>
    <xf numFmtId="0" fontId="22" fillId="9" borderId="0" xfId="0" applyFont="1" applyFill="1" applyAlignment="1">
      <alignment horizontal="center"/>
    </xf>
    <xf numFmtId="14" fontId="142" fillId="0" borderId="0" xfId="0" applyNumberFormat="1" applyFont="1"/>
    <xf numFmtId="0" fontId="128" fillId="9" borderId="0" xfId="0" applyFont="1" applyFill="1" applyAlignment="1">
      <alignment horizontal="left"/>
    </xf>
    <xf numFmtId="0" fontId="43" fillId="9" borderId="0" xfId="0" applyFont="1" applyFill="1" applyAlignment="1">
      <alignment horizontal="left" indent="16"/>
    </xf>
    <xf numFmtId="0" fontId="47" fillId="9" borderId="0" xfId="0" applyFont="1" applyFill="1" applyAlignment="1">
      <alignment horizontal="left" indent="5"/>
    </xf>
    <xf numFmtId="0" fontId="0" fillId="9" borderId="0" xfId="0" applyFill="1" applyAlignment="1">
      <alignment horizontal="left" indent="5"/>
    </xf>
    <xf numFmtId="0" fontId="143" fillId="9" borderId="0" xfId="9" applyFont="1" applyFill="1" applyBorder="1" applyAlignment="1" applyProtection="1">
      <alignment horizontal="left" indent="6"/>
    </xf>
    <xf numFmtId="0" fontId="144" fillId="9" borderId="0" xfId="0" applyFont="1" applyFill="1" applyAlignment="1">
      <alignment horizontal="left" indent="6"/>
    </xf>
    <xf numFmtId="0" fontId="145" fillId="9" borderId="0" xfId="0" applyFont="1" applyFill="1" applyAlignment="1">
      <alignment horizontal="left" indent="6"/>
    </xf>
    <xf numFmtId="0" fontId="146" fillId="9" borderId="0" xfId="9" applyFont="1" applyFill="1" applyBorder="1" applyAlignment="1" applyProtection="1">
      <alignment horizontal="left" indent="6"/>
    </xf>
    <xf numFmtId="0" fontId="147" fillId="9" borderId="0" xfId="0" applyFont="1" applyFill="1" applyAlignment="1">
      <alignment horizontal="left" indent="6"/>
    </xf>
    <xf numFmtId="0" fontId="53" fillId="9" borderId="0" xfId="0" applyFont="1" applyFill="1"/>
    <xf numFmtId="0" fontId="148" fillId="36" borderId="87" xfId="0" applyFont="1" applyFill="1" applyBorder="1" applyAlignment="1">
      <alignment horizontal="center"/>
    </xf>
    <xf numFmtId="0" fontId="148" fillId="36" borderId="88" xfId="0" applyFont="1" applyFill="1" applyBorder="1" applyAlignment="1">
      <alignment horizontal="center"/>
    </xf>
    <xf numFmtId="0" fontId="148" fillId="36" borderId="88" xfId="0" applyFont="1" applyFill="1" applyBorder="1"/>
    <xf numFmtId="0" fontId="148" fillId="36" borderId="89" xfId="0" applyFont="1" applyFill="1" applyBorder="1"/>
    <xf numFmtId="0" fontId="148" fillId="36" borderId="13" xfId="0" applyFont="1" applyFill="1" applyBorder="1"/>
    <xf numFmtId="0" fontId="148" fillId="36" borderId="90" xfId="0" applyFont="1" applyFill="1" applyBorder="1"/>
    <xf numFmtId="0" fontId="149" fillId="36" borderId="88" xfId="0" applyFont="1" applyFill="1" applyBorder="1" applyAlignment="1">
      <alignment horizontal="center"/>
    </xf>
    <xf numFmtId="0" fontId="148" fillId="36" borderId="91" xfId="0" applyFont="1" applyFill="1" applyBorder="1" applyAlignment="1">
      <alignment horizontal="center"/>
    </xf>
    <xf numFmtId="0" fontId="148" fillId="36" borderId="92" xfId="0" applyFont="1" applyFill="1" applyBorder="1" applyAlignment="1">
      <alignment horizontal="center"/>
    </xf>
    <xf numFmtId="0" fontId="148" fillId="36" borderId="93" xfId="0" applyFont="1" applyFill="1" applyBorder="1" applyAlignment="1">
      <alignment horizontal="center"/>
    </xf>
    <xf numFmtId="0" fontId="148" fillId="36" borderId="94" xfId="0" applyFont="1" applyFill="1" applyBorder="1" applyAlignment="1">
      <alignment horizontal="center"/>
    </xf>
    <xf numFmtId="0" fontId="55" fillId="9" borderId="0" xfId="0" applyFont="1" applyFill="1"/>
    <xf numFmtId="0" fontId="47" fillId="0" borderId="23" xfId="0" applyFont="1" applyBorder="1"/>
    <xf numFmtId="0" fontId="47" fillId="0" borderId="13" xfId="0" applyFont="1" applyBorder="1"/>
    <xf numFmtId="0" fontId="47" fillId="0" borderId="24" xfId="0" applyFont="1" applyBorder="1"/>
    <xf numFmtId="0" fontId="47" fillId="0" borderId="25" xfId="0" applyFont="1" applyBorder="1"/>
    <xf numFmtId="0" fontId="47" fillId="0" borderId="25" xfId="0" applyFont="1" applyBorder="1" applyAlignment="1">
      <alignment horizontal="center"/>
    </xf>
    <xf numFmtId="0" fontId="47" fillId="0" borderId="26" xfId="0" applyFont="1" applyBorder="1"/>
    <xf numFmtId="0" fontId="56" fillId="9" borderId="0" xfId="0" quotePrefix="1" applyFont="1" applyFill="1" applyAlignment="1">
      <alignment horizontal="right"/>
    </xf>
    <xf numFmtId="0" fontId="57" fillId="9" borderId="0" xfId="0" applyFont="1" applyFill="1"/>
    <xf numFmtId="0" fontId="56" fillId="9" borderId="3" xfId="0" applyFont="1" applyFill="1" applyBorder="1"/>
    <xf numFmtId="0" fontId="154" fillId="37" borderId="21" xfId="0" applyFont="1" applyFill="1" applyBorder="1" applyAlignment="1">
      <alignment horizontal="center" vertical="center"/>
    </xf>
    <xf numFmtId="43" fontId="154" fillId="27" borderId="11" xfId="1" applyFont="1" applyFill="1" applyBorder="1" applyAlignment="1">
      <alignment horizontal="center" vertical="center" wrapText="1"/>
    </xf>
    <xf numFmtId="0" fontId="154" fillId="27" borderId="11" xfId="0" applyFont="1" applyFill="1" applyBorder="1" applyAlignment="1">
      <alignment horizontal="center" vertical="center" wrapText="1"/>
    </xf>
    <xf numFmtId="0" fontId="154" fillId="27" borderId="9" xfId="0" applyFont="1" applyFill="1" applyBorder="1" applyAlignment="1">
      <alignment horizontal="center" vertical="center" wrapText="1"/>
    </xf>
    <xf numFmtId="43" fontId="155" fillId="37" borderId="0" xfId="1" applyFont="1" applyFill="1"/>
    <xf numFmtId="0" fontId="155" fillId="0" borderId="4" xfId="0" applyFont="1" applyBorder="1" applyAlignment="1">
      <alignment horizontal="center"/>
    </xf>
    <xf numFmtId="43" fontId="155" fillId="13" borderId="0" xfId="1" applyFont="1" applyFill="1"/>
    <xf numFmtId="43" fontId="155" fillId="0" borderId="0" xfId="1" applyFont="1" applyBorder="1" applyAlignment="1">
      <alignment horizontal="center"/>
    </xf>
    <xf numFmtId="43" fontId="155" fillId="0" borderId="5" xfId="1" applyFont="1" applyBorder="1" applyAlignment="1">
      <alignment horizontal="center"/>
    </xf>
    <xf numFmtId="43" fontId="155" fillId="0" borderId="0" xfId="1" applyFont="1"/>
    <xf numFmtId="0" fontId="96" fillId="37" borderId="21" xfId="0" applyFont="1" applyFill="1" applyBorder="1" applyAlignment="1">
      <alignment horizontal="center" vertical="center"/>
    </xf>
    <xf numFmtId="43" fontId="96" fillId="27" borderId="11" xfId="1" applyFont="1" applyFill="1" applyBorder="1" applyAlignment="1">
      <alignment horizontal="center" vertical="center" wrapText="1"/>
    </xf>
    <xf numFmtId="0" fontId="96" fillId="27" borderId="11" xfId="0" applyFont="1" applyFill="1" applyBorder="1" applyAlignment="1">
      <alignment horizontal="center" vertical="center" wrapText="1"/>
    </xf>
    <xf numFmtId="0" fontId="96" fillId="27" borderId="9" xfId="0" applyFont="1" applyFill="1" applyBorder="1" applyAlignment="1">
      <alignment horizontal="center" vertical="center" wrapText="1"/>
    </xf>
    <xf numFmtId="0" fontId="155" fillId="37" borderId="4" xfId="0" applyFont="1" applyFill="1" applyBorder="1" applyAlignment="1">
      <alignment horizontal="center"/>
    </xf>
    <xf numFmtId="43" fontId="155" fillId="37" borderId="0" xfId="1" applyFont="1" applyFill="1" applyBorder="1" applyAlignment="1">
      <alignment horizontal="center"/>
    </xf>
    <xf numFmtId="43" fontId="155" fillId="37" borderId="5" xfId="1" applyFont="1" applyFill="1" applyBorder="1" applyAlignment="1">
      <alignment horizontal="center"/>
    </xf>
    <xf numFmtId="0" fontId="155" fillId="0" borderId="6" xfId="0" applyFont="1" applyBorder="1" applyAlignment="1">
      <alignment horizontal="center"/>
    </xf>
    <xf numFmtId="43" fontId="155" fillId="13" borderId="3" xfId="1" applyFont="1" applyFill="1" applyBorder="1"/>
    <xf numFmtId="43" fontId="155" fillId="13" borderId="3" xfId="1" applyFont="1" applyFill="1" applyBorder="1" applyAlignment="1">
      <alignment horizontal="center"/>
    </xf>
    <xf numFmtId="43" fontId="155" fillId="0" borderId="3" xfId="1" applyFont="1" applyBorder="1" applyAlignment="1">
      <alignment horizontal="center"/>
    </xf>
    <xf numFmtId="43" fontId="155" fillId="0" borderId="7" xfId="1" applyFont="1" applyBorder="1" applyAlignment="1">
      <alignment horizontal="center"/>
    </xf>
    <xf numFmtId="0" fontId="60" fillId="9" borderId="0" xfId="0" applyFont="1" applyFill="1" applyAlignment="1">
      <alignment horizontal="center"/>
    </xf>
    <xf numFmtId="0" fontId="60" fillId="9" borderId="5" xfId="0" applyFont="1" applyFill="1" applyBorder="1" applyAlignment="1">
      <alignment horizontal="center"/>
    </xf>
    <xf numFmtId="10" fontId="43" fillId="9" borderId="0" xfId="0" applyNumberFormat="1" applyFont="1" applyFill="1" applyAlignment="1">
      <alignment horizontal="center"/>
    </xf>
    <xf numFmtId="10" fontId="43" fillId="9" borderId="5" xfId="0" applyNumberFormat="1" applyFont="1" applyFill="1" applyBorder="1" applyAlignment="1">
      <alignment horizontal="center"/>
    </xf>
    <xf numFmtId="10" fontId="43" fillId="9" borderId="3" xfId="0" applyNumberFormat="1" applyFont="1" applyFill="1" applyBorder="1" applyAlignment="1">
      <alignment horizontal="center"/>
    </xf>
    <xf numFmtId="10" fontId="43" fillId="9" borderId="7" xfId="0" applyNumberFormat="1" applyFont="1" applyFill="1" applyBorder="1" applyAlignment="1">
      <alignment horizontal="center"/>
    </xf>
    <xf numFmtId="0" fontId="70" fillId="9" borderId="0" xfId="0" applyFont="1" applyFill="1" applyAlignment="1">
      <alignment horizontal="center"/>
    </xf>
    <xf numFmtId="0" fontId="43" fillId="9" borderId="13" xfId="0" applyFont="1" applyFill="1" applyBorder="1" applyAlignment="1">
      <alignment horizontal="center"/>
    </xf>
    <xf numFmtId="0" fontId="43" fillId="9" borderId="19" xfId="0" applyFont="1" applyFill="1" applyBorder="1" applyAlignment="1">
      <alignment horizontal="center"/>
    </xf>
    <xf numFmtId="0" fontId="24" fillId="35" borderId="0" xfId="0" applyFont="1" applyFill="1"/>
    <xf numFmtId="0" fontId="21" fillId="35" borderId="0" xfId="0" quotePrefix="1" applyFont="1" applyFill="1" applyAlignment="1">
      <alignment horizontal="left"/>
    </xf>
    <xf numFmtId="0" fontId="21" fillId="35" borderId="0" xfId="0" applyFont="1" applyFill="1" applyAlignment="1">
      <alignment horizontal="left"/>
    </xf>
    <xf numFmtId="0" fontId="21" fillId="35" borderId="0" xfId="0" applyFont="1" applyFill="1"/>
    <xf numFmtId="0" fontId="156" fillId="35" borderId="0" xfId="9" applyFont="1" applyFill="1" applyBorder="1" applyAlignment="1" applyProtection="1"/>
    <xf numFmtId="0" fontId="157" fillId="9" borderId="0" xfId="0" applyFont="1" applyFill="1" applyAlignment="1">
      <alignment horizontal="left"/>
    </xf>
    <xf numFmtId="0" fontId="42" fillId="35" borderId="0" xfId="0" applyFont="1" applyFill="1"/>
    <xf numFmtId="0" fontId="21" fillId="35" borderId="0" xfId="0" applyFont="1" applyFill="1" applyAlignment="1">
      <alignment horizontal="right"/>
    </xf>
    <xf numFmtId="0" fontId="158" fillId="35" borderId="0" xfId="9" applyFont="1" applyFill="1" applyBorder="1" applyAlignment="1" applyProtection="1"/>
    <xf numFmtId="0" fontId="21" fillId="9" borderId="0" xfId="0" applyFont="1" applyFill="1" applyAlignment="1">
      <alignment horizontal="fill"/>
    </xf>
    <xf numFmtId="0" fontId="43" fillId="9" borderId="0" xfId="0" applyFont="1" applyFill="1" applyAlignment="1">
      <alignment horizontal="center"/>
    </xf>
    <xf numFmtId="0" fontId="150" fillId="36" borderId="93" xfId="0" applyFont="1" applyFill="1" applyBorder="1" applyAlignment="1">
      <alignment horizontal="center"/>
    </xf>
    <xf numFmtId="0" fontId="59" fillId="9" borderId="0" xfId="0" applyFont="1" applyFill="1" applyAlignment="1">
      <alignment horizontal="center"/>
    </xf>
    <xf numFmtId="0" fontId="43" fillId="9" borderId="3" xfId="0" applyFont="1" applyFill="1" applyBorder="1" applyAlignment="1">
      <alignment horizontal="center"/>
    </xf>
    <xf numFmtId="0" fontId="59" fillId="9" borderId="3" xfId="0" applyFont="1" applyFill="1" applyBorder="1" applyAlignment="1">
      <alignment horizontal="center"/>
    </xf>
    <xf numFmtId="0" fontId="56" fillId="35" borderId="0" xfId="0" applyFont="1" applyFill="1" applyAlignment="1">
      <alignment horizontal="right"/>
    </xf>
    <xf numFmtId="0" fontId="47" fillId="35" borderId="0" xfId="0" quotePrefix="1" applyFont="1" applyFill="1" applyAlignment="1">
      <alignment horizontal="left"/>
    </xf>
    <xf numFmtId="0" fontId="47" fillId="35" borderId="0" xfId="0" applyFont="1" applyFill="1"/>
    <xf numFmtId="0" fontId="17" fillId="35" borderId="0" xfId="230" applyFill="1"/>
    <xf numFmtId="0" fontId="47" fillId="35" borderId="0" xfId="0" applyFont="1" applyFill="1" applyAlignment="1">
      <alignment horizontal="left"/>
    </xf>
    <xf numFmtId="0" fontId="61" fillId="35" borderId="0" xfId="0" applyFont="1" applyFill="1"/>
    <xf numFmtId="0" fontId="56" fillId="35" borderId="0" xfId="0" applyFont="1" applyFill="1"/>
    <xf numFmtId="0" fontId="0" fillId="35" borderId="0" xfId="0" applyFill="1"/>
    <xf numFmtId="0" fontId="62" fillId="35" borderId="0" xfId="0" applyFont="1" applyFill="1"/>
    <xf numFmtId="0" fontId="129" fillId="35" borderId="0" xfId="0" applyFont="1" applyFill="1" applyAlignment="1">
      <alignment horizontal="left"/>
    </xf>
    <xf numFmtId="0" fontId="130" fillId="35" borderId="0" xfId="9" applyFont="1" applyFill="1" applyBorder="1" applyAlignment="1" applyProtection="1"/>
    <xf numFmtId="0" fontId="131" fillId="35" borderId="0" xfId="0" applyFont="1" applyFill="1" applyAlignment="1">
      <alignment horizontal="left"/>
    </xf>
    <xf numFmtId="0" fontId="159" fillId="35" borderId="0" xfId="0" applyFont="1" applyFill="1" applyAlignment="1">
      <alignment horizontal="left" indent="6"/>
    </xf>
    <xf numFmtId="0" fontId="43" fillId="35" borderId="0" xfId="0" applyFont="1" applyFill="1" applyAlignment="1">
      <alignment horizontal="left" indent="6"/>
    </xf>
    <xf numFmtId="0" fontId="47" fillId="35" borderId="0" xfId="0" applyFont="1" applyFill="1" applyAlignment="1">
      <alignment horizontal="left" indent="6"/>
    </xf>
    <xf numFmtId="0" fontId="132" fillId="35" borderId="0" xfId="0" applyFont="1" applyFill="1"/>
    <xf numFmtId="0" fontId="92" fillId="35" borderId="0" xfId="0" applyFont="1" applyFill="1"/>
    <xf numFmtId="0" fontId="133" fillId="35" borderId="0" xfId="0" applyFont="1" applyFill="1"/>
    <xf numFmtId="14" fontId="133" fillId="35" borderId="0" xfId="0" applyNumberFormat="1" applyFont="1" applyFill="1"/>
    <xf numFmtId="0" fontId="161" fillId="0" borderId="22" xfId="0" applyFont="1" applyBorder="1" applyAlignment="1">
      <alignment horizontal="center"/>
    </xf>
    <xf numFmtId="43" fontId="161" fillId="37" borderId="0" xfId="1" applyFont="1" applyFill="1"/>
    <xf numFmtId="43" fontId="161" fillId="0" borderId="13" xfId="1" applyFont="1" applyBorder="1" applyAlignment="1">
      <alignment horizontal="center"/>
    </xf>
    <xf numFmtId="43" fontId="161" fillId="0" borderId="19" xfId="1" applyFont="1" applyBorder="1" applyAlignment="1">
      <alignment horizontal="center"/>
    </xf>
    <xf numFmtId="0" fontId="161" fillId="0" borderId="4" xfId="0" applyFont="1" applyBorder="1" applyAlignment="1">
      <alignment horizontal="center"/>
    </xf>
    <xf numFmtId="43" fontId="161" fillId="13" borderId="0" xfId="1" applyFont="1" applyFill="1"/>
    <xf numFmtId="43" fontId="161" fillId="0" borderId="0" xfId="1" applyFont="1" applyBorder="1" applyAlignment="1">
      <alignment horizontal="center"/>
    </xf>
    <xf numFmtId="43" fontId="161" fillId="0" borderId="5" xfId="1" applyFont="1" applyBorder="1" applyAlignment="1">
      <alignment horizontal="center"/>
    </xf>
    <xf numFmtId="0" fontId="3" fillId="0" borderId="0" xfId="9" applyFill="1" applyAlignment="1" applyProtection="1">
      <alignment horizontal="left" vertical="top" wrapText="1"/>
    </xf>
    <xf numFmtId="0" fontId="117" fillId="0" borderId="0" xfId="0" applyFont="1" applyFill="1" applyAlignment="1">
      <alignment horizontal="left" vertical="top" wrapText="1"/>
    </xf>
    <xf numFmtId="0" fontId="117" fillId="0" borderId="0" xfId="0" applyFont="1" applyFill="1" applyAlignment="1">
      <alignment vertical="top" wrapText="1"/>
    </xf>
    <xf numFmtId="0" fontId="126" fillId="0" borderId="0" xfId="0" applyFont="1" applyFill="1" applyAlignment="1">
      <alignment horizontal="left" vertical="top" wrapText="1"/>
    </xf>
    <xf numFmtId="14" fontId="117" fillId="23" borderId="0" xfId="0" applyNumberFormat="1" applyFont="1" applyFill="1" applyAlignment="1">
      <alignment horizontal="left" vertical="top" wrapText="1"/>
    </xf>
    <xf numFmtId="0" fontId="118" fillId="0" borderId="0" xfId="0" applyFont="1" applyFill="1" applyAlignment="1">
      <alignment horizontal="left" vertical="top" wrapText="1"/>
    </xf>
    <xf numFmtId="14" fontId="126" fillId="30" borderId="84" xfId="0" applyNumberFormat="1" applyFont="1" applyFill="1" applyBorder="1" applyAlignment="1">
      <alignment horizontal="left" vertical="center" wrapText="1"/>
    </xf>
    <xf numFmtId="0" fontId="0" fillId="0" borderId="85" xfId="0" applyBorder="1" applyAlignment="1">
      <alignment vertical="center" wrapText="1"/>
    </xf>
    <xf numFmtId="0" fontId="0" fillId="0" borderId="86" xfId="0" applyBorder="1" applyAlignment="1">
      <alignment vertical="center" wrapText="1"/>
    </xf>
    <xf numFmtId="164" fontId="119" fillId="0" borderId="0" xfId="0" applyNumberFormat="1" applyFont="1" applyFill="1" applyBorder="1" applyAlignment="1" applyProtection="1">
      <alignment horizontal="center" vertical="top"/>
      <protection locked="0"/>
    </xf>
    <xf numFmtId="0" fontId="96" fillId="17" borderId="21" xfId="0" applyFont="1" applyFill="1" applyBorder="1" applyAlignment="1" applyProtection="1">
      <alignment horizontal="center" vertical="top"/>
      <protection locked="0"/>
    </xf>
    <xf numFmtId="0" fontId="96" fillId="17" borderId="11" xfId="0" applyFont="1" applyFill="1" applyBorder="1" applyAlignment="1" applyProtection="1">
      <alignment horizontal="center" vertical="top"/>
      <protection locked="0"/>
    </xf>
    <xf numFmtId="0" fontId="96" fillId="17" borderId="9" xfId="0" applyFont="1" applyFill="1" applyBorder="1" applyAlignment="1" applyProtection="1">
      <alignment horizontal="center" vertical="top"/>
      <protection locked="0"/>
    </xf>
    <xf numFmtId="164" fontId="119" fillId="0" borderId="0" xfId="0" applyNumberFormat="1" applyFont="1" applyFill="1" applyBorder="1" applyAlignment="1" applyProtection="1">
      <alignment horizontal="center" vertical="center"/>
      <protection locked="0"/>
    </xf>
    <xf numFmtId="164" fontId="88" fillId="0" borderId="0" xfId="0" applyNumberFormat="1" applyFont="1" applyFill="1" applyBorder="1" applyAlignment="1" applyProtection="1">
      <alignment horizontal="center" vertical="center"/>
      <protection locked="0"/>
    </xf>
    <xf numFmtId="0" fontId="96" fillId="16" borderId="21" xfId="0" applyFont="1" applyFill="1" applyBorder="1" applyAlignment="1" applyProtection="1">
      <alignment horizontal="center" vertical="top"/>
      <protection locked="0"/>
    </xf>
    <xf numFmtId="0" fontId="96" fillId="16" borderId="11" xfId="0" applyFont="1" applyFill="1" applyBorder="1" applyAlignment="1" applyProtection="1">
      <alignment horizontal="center" vertical="top"/>
      <protection locked="0"/>
    </xf>
    <xf numFmtId="0" fontId="96" fillId="16" borderId="9" xfId="0" applyFont="1" applyFill="1" applyBorder="1" applyAlignment="1" applyProtection="1">
      <alignment horizontal="center" vertical="top"/>
      <protection locked="0"/>
    </xf>
    <xf numFmtId="0" fontId="111" fillId="29" borderId="65" xfId="0" applyFont="1" applyFill="1" applyBorder="1" applyAlignment="1" applyProtection="1">
      <alignment vertical="top" wrapText="1"/>
      <protection locked="0"/>
    </xf>
    <xf numFmtId="0" fontId="111" fillId="29" borderId="54" xfId="0" applyFont="1" applyFill="1" applyBorder="1" applyAlignment="1" applyProtection="1">
      <alignment vertical="top" wrapText="1"/>
      <protection locked="0"/>
    </xf>
    <xf numFmtId="0" fontId="111" fillId="29" borderId="55" xfId="0" applyFont="1" applyFill="1" applyBorder="1" applyAlignment="1" applyProtection="1">
      <alignment vertical="top" wrapText="1"/>
      <protection locked="0"/>
    </xf>
    <xf numFmtId="0" fontId="105" fillId="0" borderId="6" xfId="0" applyFont="1" applyFill="1" applyBorder="1" applyAlignment="1" applyProtection="1">
      <alignment vertical="top" wrapText="1"/>
      <protection locked="0"/>
    </xf>
    <xf numFmtId="0" fontId="105" fillId="0" borderId="3" xfId="0" applyFont="1" applyFill="1" applyBorder="1" applyAlignment="1" applyProtection="1">
      <alignment vertical="top" wrapText="1"/>
      <protection locked="0"/>
    </xf>
    <xf numFmtId="0" fontId="105" fillId="0" borderId="7" xfId="0" applyFont="1" applyFill="1" applyBorder="1" applyAlignment="1" applyProtection="1">
      <alignment vertical="top" wrapText="1"/>
      <protection locked="0"/>
    </xf>
    <xf numFmtId="0" fontId="96" fillId="0" borderId="21" xfId="0" applyFont="1" applyFill="1" applyBorder="1" applyAlignment="1" applyProtection="1">
      <alignment horizontal="left" vertical="top" wrapText="1"/>
      <protection locked="0"/>
    </xf>
    <xf numFmtId="0" fontId="96" fillId="0" borderId="11" xfId="0" applyFont="1" applyFill="1" applyBorder="1" applyAlignment="1" applyProtection="1">
      <alignment horizontal="left" vertical="top" wrapText="1"/>
      <protection locked="0"/>
    </xf>
    <xf numFmtId="0" fontId="96" fillId="0" borderId="9" xfId="0" applyFont="1" applyFill="1" applyBorder="1" applyAlignment="1" applyProtection="1">
      <alignment horizontal="left" vertical="top" wrapText="1"/>
      <protection locked="0"/>
    </xf>
    <xf numFmtId="0" fontId="98" fillId="0" borderId="22" xfId="0" applyFont="1" applyFill="1" applyBorder="1" applyAlignment="1" applyProtection="1">
      <alignment horizontal="center" vertical="top" wrapText="1"/>
      <protection locked="0"/>
    </xf>
    <xf numFmtId="0" fontId="98" fillId="0" borderId="13" xfId="0" applyFont="1" applyFill="1" applyBorder="1" applyAlignment="1" applyProtection="1">
      <alignment horizontal="center" vertical="top" wrapText="1"/>
      <protection locked="0"/>
    </xf>
    <xf numFmtId="0" fontId="98" fillId="0" borderId="19" xfId="0" applyFont="1" applyFill="1" applyBorder="1" applyAlignment="1" applyProtection="1">
      <alignment horizontal="center" vertical="top" wrapText="1"/>
      <protection locked="0"/>
    </xf>
    <xf numFmtId="0" fontId="96" fillId="0" borderId="22" xfId="0" applyFont="1" applyFill="1" applyBorder="1" applyAlignment="1" applyProtection="1">
      <alignment horizontal="center" vertical="top"/>
      <protection locked="0"/>
    </xf>
    <xf numFmtId="0" fontId="96" fillId="0" borderId="13" xfId="0" applyFont="1" applyFill="1" applyBorder="1" applyAlignment="1" applyProtection="1">
      <alignment horizontal="center" vertical="top"/>
      <protection locked="0"/>
    </xf>
    <xf numFmtId="0" fontId="96" fillId="0" borderId="19" xfId="0" applyFont="1" applyFill="1" applyBorder="1" applyAlignment="1" applyProtection="1">
      <alignment horizontal="center" vertical="top"/>
      <protection locked="0"/>
    </xf>
    <xf numFmtId="0" fontId="120" fillId="9" borderId="21" xfId="0" applyFont="1" applyFill="1" applyBorder="1" applyAlignment="1">
      <alignment horizontal="center" vertical="center"/>
    </xf>
    <xf numFmtId="0" fontId="45" fillId="9" borderId="11" xfId="0" applyFont="1" applyFill="1" applyBorder="1" applyAlignment="1">
      <alignment horizontal="center" vertical="center"/>
    </xf>
    <xf numFmtId="0" fontId="89" fillId="0" borderId="50" xfId="0" applyFont="1" applyBorder="1" applyAlignment="1">
      <alignment horizontal="right"/>
    </xf>
    <xf numFmtId="0" fontId="89" fillId="0" borderId="78" xfId="0" applyFont="1" applyBorder="1" applyAlignment="1">
      <alignment horizontal="right"/>
    </xf>
    <xf numFmtId="0" fontId="89" fillId="0" borderId="41" xfId="0" applyFont="1" applyBorder="1" applyAlignment="1">
      <alignment horizontal="left" vertical="top" wrapText="1"/>
    </xf>
    <xf numFmtId="0" fontId="89" fillId="0" borderId="0" xfId="0" applyFont="1" applyAlignment="1">
      <alignment horizontal="left" vertical="top" wrapText="1"/>
    </xf>
    <xf numFmtId="0" fontId="114" fillId="23" borderId="65" xfId="32" applyFont="1" applyFill="1" applyBorder="1" applyAlignment="1">
      <alignment horizontal="center"/>
    </xf>
    <xf numFmtId="0" fontId="114" fillId="23" borderId="54" xfId="32" applyFont="1" applyFill="1" applyBorder="1" applyAlignment="1">
      <alignment horizontal="center"/>
    </xf>
    <xf numFmtId="0" fontId="114" fillId="23" borderId="71" xfId="32" applyFont="1" applyFill="1" applyBorder="1" applyAlignment="1">
      <alignment horizontal="center"/>
    </xf>
    <xf numFmtId="7" fontId="89" fillId="26" borderId="65" xfId="0" applyNumberFormat="1" applyFont="1" applyFill="1" applyBorder="1" applyAlignment="1" applyProtection="1">
      <alignment horizontal="center"/>
    </xf>
    <xf numFmtId="7" fontId="89" fillId="26" borderId="54" xfId="0" applyNumberFormat="1" applyFont="1" applyFill="1" applyBorder="1" applyAlignment="1" applyProtection="1">
      <alignment horizontal="center"/>
    </xf>
    <xf numFmtId="7" fontId="89" fillId="26" borderId="71" xfId="0" applyNumberFormat="1" applyFont="1" applyFill="1" applyBorder="1" applyAlignment="1" applyProtection="1">
      <alignment horizontal="center"/>
    </xf>
    <xf numFmtId="0" fontId="124" fillId="33" borderId="65" xfId="0" applyFont="1" applyFill="1" applyBorder="1" applyAlignment="1">
      <alignment horizontal="center"/>
    </xf>
    <xf numFmtId="0" fontId="124" fillId="33" borderId="54" xfId="0" applyFont="1" applyFill="1" applyBorder="1" applyAlignment="1">
      <alignment horizontal="center"/>
    </xf>
    <xf numFmtId="0" fontId="124" fillId="33" borderId="71" xfId="0" applyFont="1" applyFill="1" applyBorder="1" applyAlignment="1">
      <alignment horizontal="center"/>
    </xf>
    <xf numFmtId="0" fontId="89" fillId="0" borderId="63" xfId="0" applyFont="1" applyBorder="1" applyAlignment="1">
      <alignment horizontal="left" vertical="top" wrapText="1"/>
    </xf>
    <xf numFmtId="0" fontId="89" fillId="0" borderId="64" xfId="0" applyFont="1" applyBorder="1" applyAlignment="1">
      <alignment horizontal="left" vertical="top" wrapText="1"/>
    </xf>
    <xf numFmtId="0" fontId="89" fillId="0" borderId="59" xfId="0" applyFont="1" applyBorder="1" applyAlignment="1">
      <alignment horizontal="left" vertical="top" wrapText="1"/>
    </xf>
    <xf numFmtId="0" fontId="89" fillId="0" borderId="0" xfId="0" applyFont="1" applyBorder="1" applyAlignment="1">
      <alignment horizontal="left" vertical="top" wrapText="1"/>
    </xf>
    <xf numFmtId="0" fontId="89" fillId="0" borderId="60" xfId="0" applyFont="1" applyBorder="1" applyAlignment="1">
      <alignment horizontal="left" vertical="top" wrapText="1"/>
    </xf>
    <xf numFmtId="0" fontId="89" fillId="0" borderId="61" xfId="0" applyFont="1" applyBorder="1" applyAlignment="1">
      <alignment horizontal="left" vertical="top" wrapText="1"/>
    </xf>
    <xf numFmtId="0" fontId="89" fillId="0" borderId="2" xfId="0" applyFont="1" applyBorder="1" applyAlignment="1">
      <alignment horizontal="left" vertical="top" wrapText="1"/>
    </xf>
    <xf numFmtId="0" fontId="89" fillId="0" borderId="62" xfId="0" applyFont="1" applyBorder="1" applyAlignment="1">
      <alignment horizontal="left" vertical="top" wrapText="1"/>
    </xf>
    <xf numFmtId="7" fontId="89" fillId="27" borderId="22" xfId="0" applyNumberFormat="1" applyFont="1" applyFill="1" applyBorder="1" applyAlignment="1" applyProtection="1">
      <alignment horizontal="left" vertical="top"/>
    </xf>
    <xf numFmtId="7" fontId="89" fillId="27" borderId="13" xfId="0" applyNumberFormat="1" applyFont="1" applyFill="1" applyBorder="1" applyAlignment="1" applyProtection="1">
      <alignment horizontal="left" vertical="top"/>
    </xf>
    <xf numFmtId="7" fontId="89" fillId="27" borderId="6" xfId="0" applyNumberFormat="1" applyFont="1" applyFill="1" applyBorder="1" applyAlignment="1" applyProtection="1">
      <alignment horizontal="left" vertical="top" wrapText="1"/>
    </xf>
    <xf numFmtId="7" fontId="89" fillId="27" borderId="3" xfId="0" applyNumberFormat="1" applyFont="1" applyFill="1" applyBorder="1" applyAlignment="1" applyProtection="1">
      <alignment horizontal="left" vertical="top" wrapText="1"/>
    </xf>
    <xf numFmtId="7" fontId="89" fillId="27" borderId="7" xfId="0" applyNumberFormat="1" applyFont="1" applyFill="1" applyBorder="1" applyAlignment="1" applyProtection="1">
      <alignment horizontal="left" vertical="top" wrapText="1"/>
    </xf>
    <xf numFmtId="0" fontId="88" fillId="31" borderId="65" xfId="0" applyFont="1" applyFill="1" applyBorder="1" applyAlignment="1">
      <alignment horizontal="center" vertical="center"/>
    </xf>
    <xf numFmtId="0" fontId="88" fillId="31" borderId="54" xfId="0" applyFont="1" applyFill="1" applyBorder="1" applyAlignment="1">
      <alignment horizontal="center" vertical="center"/>
    </xf>
    <xf numFmtId="0" fontId="88" fillId="31" borderId="71" xfId="0" applyFont="1" applyFill="1" applyBorder="1" applyAlignment="1">
      <alignment horizontal="center" vertical="center"/>
    </xf>
    <xf numFmtId="0" fontId="114" fillId="23" borderId="61" xfId="0" applyFont="1" applyFill="1" applyBorder="1" applyAlignment="1">
      <alignment horizontal="center"/>
    </xf>
    <xf numFmtId="0" fontId="114" fillId="23" borderId="2" xfId="0" applyFont="1" applyFill="1" applyBorder="1" applyAlignment="1">
      <alignment horizontal="center"/>
    </xf>
    <xf numFmtId="0" fontId="114" fillId="23" borderId="62" xfId="0" applyFont="1" applyFill="1" applyBorder="1" applyAlignment="1">
      <alignment horizontal="center"/>
    </xf>
    <xf numFmtId="0" fontId="114" fillId="23" borderId="72" xfId="0" applyFont="1" applyFill="1" applyBorder="1" applyAlignment="1">
      <alignment horizontal="center"/>
    </xf>
    <xf numFmtId="0" fontId="114" fillId="23" borderId="3" xfId="0" applyFont="1" applyFill="1" applyBorder="1" applyAlignment="1">
      <alignment horizontal="center"/>
    </xf>
    <xf numFmtId="0" fontId="114" fillId="23" borderId="73" xfId="0" applyFont="1" applyFill="1" applyBorder="1" applyAlignment="1">
      <alignment horizontal="center"/>
    </xf>
    <xf numFmtId="0" fontId="121" fillId="10" borderId="63" xfId="0" applyFont="1" applyFill="1" applyBorder="1" applyAlignment="1">
      <alignment horizontal="center"/>
    </xf>
    <xf numFmtId="0" fontId="121" fillId="10" borderId="41" xfId="0" applyFont="1" applyFill="1" applyBorder="1" applyAlignment="1">
      <alignment horizontal="center"/>
    </xf>
    <xf numFmtId="0" fontId="121" fillId="10" borderId="64" xfId="0" applyFont="1" applyFill="1" applyBorder="1" applyAlignment="1">
      <alignment horizontal="center"/>
    </xf>
    <xf numFmtId="0" fontId="78" fillId="10" borderId="61" xfId="0" applyFont="1" applyFill="1" applyBorder="1" applyAlignment="1">
      <alignment horizontal="center" wrapText="1"/>
    </xf>
    <xf numFmtId="0" fontId="78" fillId="10" borderId="2" xfId="0" applyFont="1" applyFill="1" applyBorder="1" applyAlignment="1">
      <alignment horizontal="center" wrapText="1"/>
    </xf>
    <xf numFmtId="0" fontId="78" fillId="10" borderId="62" xfId="0" applyFont="1" applyFill="1" applyBorder="1" applyAlignment="1">
      <alignment horizontal="center" wrapText="1"/>
    </xf>
    <xf numFmtId="0" fontId="114" fillId="23" borderId="6" xfId="32" applyFont="1" applyFill="1" applyBorder="1" applyAlignment="1">
      <alignment horizontal="center"/>
    </xf>
    <xf numFmtId="0" fontId="114" fillId="23" borderId="7" xfId="32" applyFont="1" applyFill="1" applyBorder="1" applyAlignment="1">
      <alignment horizontal="center"/>
    </xf>
    <xf numFmtId="0" fontId="114" fillId="23" borderId="21" xfId="32" applyFont="1" applyFill="1" applyBorder="1" applyAlignment="1">
      <alignment horizontal="center"/>
    </xf>
    <xf numFmtId="0" fontId="114" fillId="23" borderId="9" xfId="32" applyFont="1" applyFill="1" applyBorder="1" applyAlignment="1">
      <alignment horizontal="center"/>
    </xf>
    <xf numFmtId="7" fontId="89" fillId="27" borderId="61" xfId="0" applyNumberFormat="1" applyFont="1" applyFill="1" applyBorder="1" applyAlignment="1" applyProtection="1">
      <alignment horizontal="left" wrapText="1"/>
    </xf>
    <xf numFmtId="7" fontId="89" fillId="27" borderId="62" xfId="0" applyNumberFormat="1" applyFont="1" applyFill="1" applyBorder="1" applyAlignment="1" applyProtection="1">
      <alignment horizontal="left" wrapText="1"/>
    </xf>
    <xf numFmtId="0" fontId="89" fillId="26" borderId="21" xfId="0" applyFont="1" applyFill="1" applyBorder="1" applyAlignment="1">
      <alignment horizontal="center"/>
    </xf>
    <xf numFmtId="0" fontId="89" fillId="26" borderId="11" xfId="0" applyFont="1" applyFill="1" applyBorder="1" applyAlignment="1">
      <alignment horizontal="center"/>
    </xf>
    <xf numFmtId="0" fontId="89" fillId="26" borderId="9" xfId="0" applyFont="1" applyFill="1" applyBorder="1" applyAlignment="1">
      <alignment horizontal="center"/>
    </xf>
    <xf numFmtId="0" fontId="114" fillId="23" borderId="6" xfId="0" applyFont="1" applyFill="1" applyBorder="1" applyAlignment="1">
      <alignment horizontal="center"/>
    </xf>
    <xf numFmtId="0" fontId="114" fillId="23" borderId="7" xfId="0" applyFont="1" applyFill="1" applyBorder="1" applyAlignment="1">
      <alignment horizontal="center"/>
    </xf>
    <xf numFmtId="171" fontId="88" fillId="0" borderId="6" xfId="134" applyFont="1" applyBorder="1" applyAlignment="1">
      <alignment horizontal="center"/>
    </xf>
    <xf numFmtId="171" fontId="88" fillId="0" borderId="7" xfId="134" applyFont="1" applyBorder="1" applyAlignment="1">
      <alignment horizontal="center"/>
    </xf>
    <xf numFmtId="7" fontId="85" fillId="13" borderId="6" xfId="134" applyNumberFormat="1" applyFont="1" applyFill="1" applyBorder="1" applyAlignment="1" applyProtection="1">
      <alignment horizontal="left" wrapText="1"/>
    </xf>
    <xf numFmtId="7" fontId="85" fillId="13" borderId="7" xfId="134" applyNumberFormat="1" applyFont="1" applyFill="1" applyBorder="1" applyAlignment="1" applyProtection="1">
      <alignment horizontal="left" wrapText="1"/>
    </xf>
    <xf numFmtId="171" fontId="85" fillId="11" borderId="21" xfId="134" applyFont="1" applyFill="1" applyBorder="1" applyAlignment="1">
      <alignment horizontal="center"/>
    </xf>
    <xf numFmtId="171" fontId="85" fillId="11" borderId="11" xfId="134" applyFont="1" applyFill="1" applyBorder="1" applyAlignment="1">
      <alignment horizontal="center"/>
    </xf>
    <xf numFmtId="171" fontId="85" fillId="11" borderId="9" xfId="134" applyFont="1" applyFill="1" applyBorder="1" applyAlignment="1">
      <alignment horizontal="center"/>
    </xf>
    <xf numFmtId="0" fontId="18" fillId="0" borderId="0" xfId="32" applyFont="1" applyAlignment="1">
      <alignment horizontal="center"/>
    </xf>
    <xf numFmtId="0" fontId="19" fillId="0" borderId="0" xfId="32"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22" fillId="0" borderId="0" xfId="32" applyFont="1" applyAlignment="1">
      <alignment horizontal="center"/>
    </xf>
    <xf numFmtId="0" fontId="18" fillId="9" borderId="0" xfId="0" applyFont="1" applyFill="1" applyAlignment="1">
      <alignment horizontal="center"/>
    </xf>
    <xf numFmtId="0" fontId="19" fillId="9" borderId="0" xfId="0" applyFont="1" applyFill="1" applyAlignment="1">
      <alignment horizontal="center"/>
    </xf>
    <xf numFmtId="0" fontId="70" fillId="9" borderId="0" xfId="0" applyFont="1" applyFill="1" applyAlignment="1">
      <alignment horizontal="center"/>
    </xf>
    <xf numFmtId="0" fontId="43" fillId="9" borderId="0" xfId="0" applyFont="1" applyFill="1" applyAlignment="1">
      <alignment horizontal="center"/>
    </xf>
    <xf numFmtId="0" fontId="43" fillId="9" borderId="21" xfId="0" applyFont="1" applyFill="1" applyBorder="1" applyAlignment="1">
      <alignment horizontal="center"/>
    </xf>
    <xf numFmtId="0" fontId="43" fillId="9" borderId="11" xfId="0" applyFont="1" applyFill="1" applyBorder="1" applyAlignment="1">
      <alignment horizontal="center"/>
    </xf>
    <xf numFmtId="0" fontId="43" fillId="9" borderId="9" xfId="0" applyFont="1" applyFill="1" applyBorder="1" applyAlignment="1">
      <alignment horizontal="center"/>
    </xf>
    <xf numFmtId="0" fontId="34" fillId="3" borderId="0" xfId="139" applyFont="1" applyFill="1" applyBorder="1" applyAlignment="1" applyProtection="1">
      <alignment horizontal="center"/>
    </xf>
    <xf numFmtId="0" fontId="34" fillId="3" borderId="3" xfId="139" applyFont="1" applyFill="1" applyBorder="1" applyAlignment="1" applyProtection="1">
      <alignment horizontal="center"/>
    </xf>
    <xf numFmtId="0" fontId="34" fillId="3" borderId="4" xfId="139" applyFont="1" applyFill="1" applyBorder="1" applyAlignment="1" applyProtection="1">
      <alignment horizontal="center"/>
    </xf>
    <xf numFmtId="0" fontId="34" fillId="3" borderId="6" xfId="139" applyFont="1" applyFill="1" applyBorder="1" applyAlignment="1" applyProtection="1">
      <alignment horizontal="center"/>
    </xf>
    <xf numFmtId="0" fontId="34" fillId="3" borderId="5" xfId="139" applyFont="1" applyFill="1" applyBorder="1" applyAlignment="1" applyProtection="1">
      <alignment horizontal="center"/>
    </xf>
    <xf numFmtId="0" fontId="34" fillId="3" borderId="7" xfId="139" applyFont="1" applyFill="1" applyBorder="1" applyAlignment="1" applyProtection="1">
      <alignment horizontal="center"/>
    </xf>
    <xf numFmtId="0" fontId="35" fillId="3" borderId="0" xfId="139" applyFont="1" applyFill="1" applyBorder="1" applyAlignment="1" applyProtection="1">
      <alignment horizontal="center"/>
    </xf>
    <xf numFmtId="0" fontId="33" fillId="0" borderId="0" xfId="139" applyFont="1" applyBorder="1" applyAlignment="1" applyProtection="1">
      <alignment horizontal="center"/>
    </xf>
    <xf numFmtId="0" fontId="35" fillId="3" borderId="3" xfId="139" applyFont="1" applyFill="1" applyBorder="1" applyAlignment="1" applyProtection="1">
      <alignment horizontal="center"/>
    </xf>
    <xf numFmtId="0" fontId="37" fillId="0" borderId="3" xfId="139" applyFont="1" applyBorder="1" applyAlignment="1" applyProtection="1">
      <alignment horizontal="center"/>
    </xf>
    <xf numFmtId="0" fontId="33" fillId="0" borderId="3" xfId="139" applyFont="1" applyBorder="1" applyAlignment="1" applyProtection="1">
      <alignment horizontal="center"/>
    </xf>
    <xf numFmtId="0" fontId="151" fillId="0" borderId="21" xfId="0" applyFont="1" applyBorder="1" applyAlignment="1">
      <alignment horizontal="center" vertical="top" wrapText="1"/>
    </xf>
    <xf numFmtId="0" fontId="151" fillId="0" borderId="11" xfId="0" applyFont="1" applyBorder="1" applyAlignment="1">
      <alignment horizontal="center" vertical="top" wrapText="1"/>
    </xf>
    <xf numFmtId="0" fontId="151" fillId="0" borderId="9" xfId="0" applyFont="1" applyBorder="1" applyAlignment="1">
      <alignment horizontal="center" vertical="top" wrapText="1"/>
    </xf>
    <xf numFmtId="0" fontId="152" fillId="0" borderId="0" xfId="0" applyFont="1" applyAlignment="1">
      <alignment horizontal="center"/>
    </xf>
    <xf numFmtId="0" fontId="153" fillId="0" borderId="0" xfId="0" applyFont="1" applyAlignment="1">
      <alignment horizontal="center"/>
    </xf>
    <xf numFmtId="0" fontId="0" fillId="13" borderId="0" xfId="0" applyFill="1" applyAlignment="1" applyProtection="1">
      <alignment horizontal="center"/>
    </xf>
    <xf numFmtId="0" fontId="12" fillId="0" borderId="0" xfId="0" applyFont="1" applyBorder="1" applyAlignment="1">
      <alignment horizontal="center"/>
    </xf>
    <xf numFmtId="0" fontId="12" fillId="0" borderId="3" xfId="0" applyFont="1" applyBorder="1" applyAlignment="1">
      <alignment horizontal="center"/>
    </xf>
    <xf numFmtId="0" fontId="99" fillId="2" borderId="22" xfId="140" applyFont="1" applyFill="1" applyBorder="1" applyAlignment="1">
      <alignment horizontal="center" vertical="center" wrapText="1"/>
    </xf>
    <xf numFmtId="0" fontId="99" fillId="2" borderId="13" xfId="140" applyFont="1" applyFill="1" applyBorder="1" applyAlignment="1">
      <alignment horizontal="center" vertical="center" wrapText="1"/>
    </xf>
    <xf numFmtId="0" fontId="99" fillId="2" borderId="19" xfId="140" applyFont="1" applyFill="1" applyBorder="1" applyAlignment="1">
      <alignment horizontal="center" vertical="center" wrapText="1"/>
    </xf>
    <xf numFmtId="0" fontId="99" fillId="2" borderId="4" xfId="140" applyFont="1" applyFill="1" applyBorder="1" applyAlignment="1">
      <alignment horizontal="center" vertical="center" wrapText="1"/>
    </xf>
    <xf numFmtId="0" fontId="99" fillId="2" borderId="0" xfId="140" applyFont="1" applyFill="1" applyBorder="1" applyAlignment="1">
      <alignment horizontal="center" vertical="center" wrapText="1"/>
    </xf>
    <xf numFmtId="0" fontId="99" fillId="2" borderId="5" xfId="140" applyFont="1" applyFill="1" applyBorder="1" applyAlignment="1">
      <alignment horizontal="center" vertical="center" wrapText="1"/>
    </xf>
    <xf numFmtId="0" fontId="99" fillId="2" borderId="6" xfId="140" applyFont="1" applyFill="1" applyBorder="1" applyAlignment="1">
      <alignment horizontal="center" vertical="center" wrapText="1"/>
    </xf>
    <xf numFmtId="0" fontId="99" fillId="2" borderId="3" xfId="140" applyFont="1" applyFill="1" applyBorder="1" applyAlignment="1">
      <alignment horizontal="center" vertical="center" wrapText="1"/>
    </xf>
    <xf numFmtId="0" fontId="99" fillId="2" borderId="7" xfId="140" applyFont="1" applyFill="1" applyBorder="1" applyAlignment="1">
      <alignment horizontal="center" vertical="center" wrapText="1"/>
    </xf>
  </cellXfs>
  <cellStyles count="235">
    <cellStyle name="Comma" xfId="1" builtinId="3"/>
    <cellStyle name="Comma 2" xfId="2" xr:uid="{00000000-0005-0000-0000-000001000000}"/>
    <cellStyle name="Comma 2 2" xfId="3" xr:uid="{00000000-0005-0000-0000-000002000000}"/>
    <cellStyle name="Comma 3" xfId="4" xr:uid="{00000000-0005-0000-0000-000003000000}"/>
    <cellStyle name="Currency" xfId="5" builtinId="4"/>
    <cellStyle name="Currency 2" xfId="6" xr:uid="{00000000-0005-0000-0000-000005000000}"/>
    <cellStyle name="Currency 2 2" xfId="7" xr:uid="{00000000-0005-0000-0000-000006000000}"/>
    <cellStyle name="Currency 3" xfId="8" xr:uid="{00000000-0005-0000-0000-000007000000}"/>
    <cellStyle name="Hyperlink" xfId="9" builtinId="8"/>
    <cellStyle name="Hyperlink 2" xfId="10" xr:uid="{00000000-0005-0000-0000-000009000000}"/>
    <cellStyle name="Hyperlink 3" xfId="234" xr:uid="{00000000-0005-0000-0000-00000A000000}"/>
    <cellStyle name="Normal" xfId="0" builtinId="0"/>
    <cellStyle name="Normal 10 2" xfId="11" xr:uid="{00000000-0005-0000-0000-00000C000000}"/>
    <cellStyle name="Normal 10 2 2" xfId="12" xr:uid="{00000000-0005-0000-0000-00000D000000}"/>
    <cellStyle name="Normal 11 2" xfId="13" xr:uid="{00000000-0005-0000-0000-00000E000000}"/>
    <cellStyle name="Normal 11 2 2" xfId="14" xr:uid="{00000000-0005-0000-0000-00000F000000}"/>
    <cellStyle name="Normal 12 2" xfId="15" xr:uid="{00000000-0005-0000-0000-000010000000}"/>
    <cellStyle name="Normal 12 2 2" xfId="16" xr:uid="{00000000-0005-0000-0000-000011000000}"/>
    <cellStyle name="Normal 13 2" xfId="17" xr:uid="{00000000-0005-0000-0000-000012000000}"/>
    <cellStyle name="Normal 13 2 2" xfId="18" xr:uid="{00000000-0005-0000-0000-000013000000}"/>
    <cellStyle name="Normal 14 2" xfId="19" xr:uid="{00000000-0005-0000-0000-000014000000}"/>
    <cellStyle name="Normal 14 2 2" xfId="20" xr:uid="{00000000-0005-0000-0000-000015000000}"/>
    <cellStyle name="Normal 14 3" xfId="21" xr:uid="{00000000-0005-0000-0000-000016000000}"/>
    <cellStyle name="Normal 14 3 2" xfId="22" xr:uid="{00000000-0005-0000-0000-000017000000}"/>
    <cellStyle name="Normal 14 4" xfId="23" xr:uid="{00000000-0005-0000-0000-000018000000}"/>
    <cellStyle name="Normal 15 2" xfId="24" xr:uid="{00000000-0005-0000-0000-000019000000}"/>
    <cellStyle name="Normal 15 2 2" xfId="25" xr:uid="{00000000-0005-0000-0000-00001A000000}"/>
    <cellStyle name="Normal 16 2" xfId="26" xr:uid="{00000000-0005-0000-0000-00001B000000}"/>
    <cellStyle name="Normal 16 2 2" xfId="27" xr:uid="{00000000-0005-0000-0000-00001C000000}"/>
    <cellStyle name="Normal 17 2" xfId="28" xr:uid="{00000000-0005-0000-0000-00001D000000}"/>
    <cellStyle name="Normal 17 2 2" xfId="29" xr:uid="{00000000-0005-0000-0000-00001E000000}"/>
    <cellStyle name="Normal 18 2" xfId="30" xr:uid="{00000000-0005-0000-0000-00001F000000}"/>
    <cellStyle name="Normal 18 2 2" xfId="31" xr:uid="{00000000-0005-0000-0000-000020000000}"/>
    <cellStyle name="Normal 2" xfId="32" xr:uid="{00000000-0005-0000-0000-000021000000}"/>
    <cellStyle name="Normal 2 10" xfId="33" xr:uid="{00000000-0005-0000-0000-000022000000}"/>
    <cellStyle name="Normal 2 10 2" xfId="34" xr:uid="{00000000-0005-0000-0000-000023000000}"/>
    <cellStyle name="Normal 2 11" xfId="35" xr:uid="{00000000-0005-0000-0000-000024000000}"/>
    <cellStyle name="Normal 2 11 2" xfId="36" xr:uid="{00000000-0005-0000-0000-000025000000}"/>
    <cellStyle name="Normal 2 12" xfId="37" xr:uid="{00000000-0005-0000-0000-000026000000}"/>
    <cellStyle name="Normal 2 12 2" xfId="38" xr:uid="{00000000-0005-0000-0000-000027000000}"/>
    <cellStyle name="Normal 2 13" xfId="39" xr:uid="{00000000-0005-0000-0000-000028000000}"/>
    <cellStyle name="Normal 2 13 2" xfId="40" xr:uid="{00000000-0005-0000-0000-000029000000}"/>
    <cellStyle name="Normal 2 14" xfId="41" xr:uid="{00000000-0005-0000-0000-00002A000000}"/>
    <cellStyle name="Normal 2 14 2" xfId="42" xr:uid="{00000000-0005-0000-0000-00002B000000}"/>
    <cellStyle name="Normal 2 15" xfId="43" xr:uid="{00000000-0005-0000-0000-00002C000000}"/>
    <cellStyle name="Normal 2 15 2" xfId="44" xr:uid="{00000000-0005-0000-0000-00002D000000}"/>
    <cellStyle name="Normal 2 16" xfId="45" xr:uid="{00000000-0005-0000-0000-00002E000000}"/>
    <cellStyle name="Normal 2 16 2" xfId="46" xr:uid="{00000000-0005-0000-0000-00002F000000}"/>
    <cellStyle name="Normal 2 17" xfId="47" xr:uid="{00000000-0005-0000-0000-000030000000}"/>
    <cellStyle name="Normal 2 17 2" xfId="48" xr:uid="{00000000-0005-0000-0000-000031000000}"/>
    <cellStyle name="Normal 2 18" xfId="49" xr:uid="{00000000-0005-0000-0000-000032000000}"/>
    <cellStyle name="Normal 2 18 2" xfId="50" xr:uid="{00000000-0005-0000-0000-000033000000}"/>
    <cellStyle name="Normal 2 19" xfId="232" xr:uid="{00000000-0005-0000-0000-000034000000}"/>
    <cellStyle name="Normal 2 2" xfId="51" xr:uid="{00000000-0005-0000-0000-000035000000}"/>
    <cellStyle name="Normal 2 2 10" xfId="52" xr:uid="{00000000-0005-0000-0000-000036000000}"/>
    <cellStyle name="Normal 2 2 10 2" xfId="53" xr:uid="{00000000-0005-0000-0000-000037000000}"/>
    <cellStyle name="Normal 2 2 11" xfId="54" xr:uid="{00000000-0005-0000-0000-000038000000}"/>
    <cellStyle name="Normal 2 2 11 2" xfId="55" xr:uid="{00000000-0005-0000-0000-000039000000}"/>
    <cellStyle name="Normal 2 2 12" xfId="56" xr:uid="{00000000-0005-0000-0000-00003A000000}"/>
    <cellStyle name="Normal 2 2 12 2" xfId="57" xr:uid="{00000000-0005-0000-0000-00003B000000}"/>
    <cellStyle name="Normal 2 2 13" xfId="58" xr:uid="{00000000-0005-0000-0000-00003C000000}"/>
    <cellStyle name="Normal 2 2 13 2" xfId="59" xr:uid="{00000000-0005-0000-0000-00003D000000}"/>
    <cellStyle name="Normal 2 2 14" xfId="60" xr:uid="{00000000-0005-0000-0000-00003E000000}"/>
    <cellStyle name="Normal 2 2 14 2" xfId="61" xr:uid="{00000000-0005-0000-0000-00003F000000}"/>
    <cellStyle name="Normal 2 2 15" xfId="62" xr:uid="{00000000-0005-0000-0000-000040000000}"/>
    <cellStyle name="Normal 2 2 15 2" xfId="63" xr:uid="{00000000-0005-0000-0000-000041000000}"/>
    <cellStyle name="Normal 2 2 16" xfId="64" xr:uid="{00000000-0005-0000-0000-000042000000}"/>
    <cellStyle name="Normal 2 2 16 2" xfId="65" xr:uid="{00000000-0005-0000-0000-000043000000}"/>
    <cellStyle name="Normal 2 2 2" xfId="66" xr:uid="{00000000-0005-0000-0000-000044000000}"/>
    <cellStyle name="Normal 2 2 2 2" xfId="67" xr:uid="{00000000-0005-0000-0000-000045000000}"/>
    <cellStyle name="Normal 2 2 3" xfId="68" xr:uid="{00000000-0005-0000-0000-000046000000}"/>
    <cellStyle name="Normal 2 2 3 2" xfId="69" xr:uid="{00000000-0005-0000-0000-000047000000}"/>
    <cellStyle name="Normal 2 2 4" xfId="70" xr:uid="{00000000-0005-0000-0000-000048000000}"/>
    <cellStyle name="Normal 2 2 4 2" xfId="71" xr:uid="{00000000-0005-0000-0000-000049000000}"/>
    <cellStyle name="Normal 2 2 5" xfId="72" xr:uid="{00000000-0005-0000-0000-00004A000000}"/>
    <cellStyle name="Normal 2 2 5 2" xfId="73" xr:uid="{00000000-0005-0000-0000-00004B000000}"/>
    <cellStyle name="Normal 2 2 6" xfId="74" xr:uid="{00000000-0005-0000-0000-00004C000000}"/>
    <cellStyle name="Normal 2 2 6 2" xfId="75" xr:uid="{00000000-0005-0000-0000-00004D000000}"/>
    <cellStyle name="Normal 2 2 7" xfId="76" xr:uid="{00000000-0005-0000-0000-00004E000000}"/>
    <cellStyle name="Normal 2 2 7 2" xfId="77" xr:uid="{00000000-0005-0000-0000-00004F000000}"/>
    <cellStyle name="Normal 2 2 8" xfId="78" xr:uid="{00000000-0005-0000-0000-000050000000}"/>
    <cellStyle name="Normal 2 2 8 2" xfId="79" xr:uid="{00000000-0005-0000-0000-000051000000}"/>
    <cellStyle name="Normal 2 2 9" xfId="80" xr:uid="{00000000-0005-0000-0000-000052000000}"/>
    <cellStyle name="Normal 2 2 9 2" xfId="81" xr:uid="{00000000-0005-0000-0000-000053000000}"/>
    <cellStyle name="Normal 2 3" xfId="82" xr:uid="{00000000-0005-0000-0000-000054000000}"/>
    <cellStyle name="Normal 2 3 10" xfId="83" xr:uid="{00000000-0005-0000-0000-000055000000}"/>
    <cellStyle name="Normal 2 3 10 2" xfId="84" xr:uid="{00000000-0005-0000-0000-000056000000}"/>
    <cellStyle name="Normal 2 3 11" xfId="85" xr:uid="{00000000-0005-0000-0000-000057000000}"/>
    <cellStyle name="Normal 2 3 11 2" xfId="86" xr:uid="{00000000-0005-0000-0000-000058000000}"/>
    <cellStyle name="Normal 2 3 12" xfId="87" xr:uid="{00000000-0005-0000-0000-000059000000}"/>
    <cellStyle name="Normal 2 3 12 2" xfId="88" xr:uid="{00000000-0005-0000-0000-00005A000000}"/>
    <cellStyle name="Normal 2 3 13" xfId="89" xr:uid="{00000000-0005-0000-0000-00005B000000}"/>
    <cellStyle name="Normal 2 3 13 2" xfId="90" xr:uid="{00000000-0005-0000-0000-00005C000000}"/>
    <cellStyle name="Normal 2 3 14" xfId="91" xr:uid="{00000000-0005-0000-0000-00005D000000}"/>
    <cellStyle name="Normal 2 3 14 2" xfId="92" xr:uid="{00000000-0005-0000-0000-00005E000000}"/>
    <cellStyle name="Normal 2 3 15" xfId="93" xr:uid="{00000000-0005-0000-0000-00005F000000}"/>
    <cellStyle name="Normal 2 3 15 2" xfId="94" xr:uid="{00000000-0005-0000-0000-000060000000}"/>
    <cellStyle name="Normal 2 3 16" xfId="95" xr:uid="{00000000-0005-0000-0000-000061000000}"/>
    <cellStyle name="Normal 2 3 16 2" xfId="96" xr:uid="{00000000-0005-0000-0000-000062000000}"/>
    <cellStyle name="Normal 2 3 2" xfId="97" xr:uid="{00000000-0005-0000-0000-000063000000}"/>
    <cellStyle name="Normal 2 3 2 2" xfId="98" xr:uid="{00000000-0005-0000-0000-000064000000}"/>
    <cellStyle name="Normal 2 3 3" xfId="99" xr:uid="{00000000-0005-0000-0000-000065000000}"/>
    <cellStyle name="Normal 2 3 3 2" xfId="100" xr:uid="{00000000-0005-0000-0000-000066000000}"/>
    <cellStyle name="Normal 2 3 4" xfId="101" xr:uid="{00000000-0005-0000-0000-000067000000}"/>
    <cellStyle name="Normal 2 3 4 2" xfId="102" xr:uid="{00000000-0005-0000-0000-000068000000}"/>
    <cellStyle name="Normal 2 3 5" xfId="103" xr:uid="{00000000-0005-0000-0000-000069000000}"/>
    <cellStyle name="Normal 2 3 5 2" xfId="104" xr:uid="{00000000-0005-0000-0000-00006A000000}"/>
    <cellStyle name="Normal 2 3 6" xfId="105" xr:uid="{00000000-0005-0000-0000-00006B000000}"/>
    <cellStyle name="Normal 2 3 6 2" xfId="106" xr:uid="{00000000-0005-0000-0000-00006C000000}"/>
    <cellStyle name="Normal 2 3 7" xfId="107" xr:uid="{00000000-0005-0000-0000-00006D000000}"/>
    <cellStyle name="Normal 2 3 7 2" xfId="108" xr:uid="{00000000-0005-0000-0000-00006E000000}"/>
    <cellStyle name="Normal 2 3 8" xfId="109" xr:uid="{00000000-0005-0000-0000-00006F000000}"/>
    <cellStyle name="Normal 2 3 8 2" xfId="110" xr:uid="{00000000-0005-0000-0000-000070000000}"/>
    <cellStyle name="Normal 2 3 9" xfId="111" xr:uid="{00000000-0005-0000-0000-000071000000}"/>
    <cellStyle name="Normal 2 3 9 2" xfId="112" xr:uid="{00000000-0005-0000-0000-000072000000}"/>
    <cellStyle name="Normal 2 4" xfId="113" xr:uid="{00000000-0005-0000-0000-000073000000}"/>
    <cellStyle name="Normal 2 4 2" xfId="114" xr:uid="{00000000-0005-0000-0000-000074000000}"/>
    <cellStyle name="Normal 2 4 2 2" xfId="115" xr:uid="{00000000-0005-0000-0000-000075000000}"/>
    <cellStyle name="Normal 2 4 3" xfId="116" xr:uid="{00000000-0005-0000-0000-000076000000}"/>
    <cellStyle name="Normal 2 4 3 2" xfId="117" xr:uid="{00000000-0005-0000-0000-000077000000}"/>
    <cellStyle name="Normal 2 4 4" xfId="118" xr:uid="{00000000-0005-0000-0000-000078000000}"/>
    <cellStyle name="Normal 2 5" xfId="119" xr:uid="{00000000-0005-0000-0000-000079000000}"/>
    <cellStyle name="Normal 2 5 2" xfId="120" xr:uid="{00000000-0005-0000-0000-00007A000000}"/>
    <cellStyle name="Normal 2 6" xfId="121" xr:uid="{00000000-0005-0000-0000-00007B000000}"/>
    <cellStyle name="Normal 2 6 2" xfId="122" xr:uid="{00000000-0005-0000-0000-00007C000000}"/>
    <cellStyle name="Normal 2 7" xfId="123" xr:uid="{00000000-0005-0000-0000-00007D000000}"/>
    <cellStyle name="Normal 2 7 2" xfId="124" xr:uid="{00000000-0005-0000-0000-00007E000000}"/>
    <cellStyle name="Normal 2 8" xfId="125" xr:uid="{00000000-0005-0000-0000-00007F000000}"/>
    <cellStyle name="Normal 2 8 2" xfId="126" xr:uid="{00000000-0005-0000-0000-000080000000}"/>
    <cellStyle name="Normal 2 9" xfId="127" xr:uid="{00000000-0005-0000-0000-000081000000}"/>
    <cellStyle name="Normal 2 9 2" xfId="128" xr:uid="{00000000-0005-0000-0000-000082000000}"/>
    <cellStyle name="Normal 21 2" xfId="129" xr:uid="{00000000-0005-0000-0000-000083000000}"/>
    <cellStyle name="Normal 21 2 2" xfId="130" xr:uid="{00000000-0005-0000-0000-000084000000}"/>
    <cellStyle name="Normal 21 3" xfId="131" xr:uid="{00000000-0005-0000-0000-000085000000}"/>
    <cellStyle name="Normal 22" xfId="132" xr:uid="{00000000-0005-0000-0000-000086000000}"/>
    <cellStyle name="Normal 22 2" xfId="133" xr:uid="{00000000-0005-0000-0000-000087000000}"/>
    <cellStyle name="Normal 23" xfId="134" xr:uid="{00000000-0005-0000-0000-000088000000}"/>
    <cellStyle name="Normal 24" xfId="135" xr:uid="{00000000-0005-0000-0000-000089000000}"/>
    <cellStyle name="Normal 24 2" xfId="136" xr:uid="{00000000-0005-0000-0000-00008A000000}"/>
    <cellStyle name="Normal 25" xfId="137" xr:uid="{00000000-0005-0000-0000-00008B000000}"/>
    <cellStyle name="Normal 25 2" xfId="138" xr:uid="{00000000-0005-0000-0000-00008C000000}"/>
    <cellStyle name="Normal 3" xfId="139" xr:uid="{00000000-0005-0000-0000-00008D000000}"/>
    <cellStyle name="Normal 3 10" xfId="140" xr:uid="{00000000-0005-0000-0000-00008E000000}"/>
    <cellStyle name="Normal 3 11" xfId="141" xr:uid="{00000000-0005-0000-0000-00008F000000}"/>
    <cellStyle name="Normal 3 12" xfId="142" xr:uid="{00000000-0005-0000-0000-000090000000}"/>
    <cellStyle name="Normal 3 13" xfId="143" xr:uid="{00000000-0005-0000-0000-000091000000}"/>
    <cellStyle name="Normal 3 14" xfId="144" xr:uid="{00000000-0005-0000-0000-000092000000}"/>
    <cellStyle name="Normal 3 15" xfId="145" xr:uid="{00000000-0005-0000-0000-000093000000}"/>
    <cellStyle name="Normal 3 16" xfId="146" xr:uid="{00000000-0005-0000-0000-000094000000}"/>
    <cellStyle name="Normal 3 17" xfId="147" xr:uid="{00000000-0005-0000-0000-000095000000}"/>
    <cellStyle name="Normal 3 18" xfId="148" xr:uid="{00000000-0005-0000-0000-000096000000}"/>
    <cellStyle name="Normal 3 19" xfId="149" xr:uid="{00000000-0005-0000-0000-000097000000}"/>
    <cellStyle name="Normal 3 19 2" xfId="150" xr:uid="{00000000-0005-0000-0000-000098000000}"/>
    <cellStyle name="Normal 3 2" xfId="151" xr:uid="{00000000-0005-0000-0000-000099000000}"/>
    <cellStyle name="Normal 3 2 10" xfId="152" xr:uid="{00000000-0005-0000-0000-00009A000000}"/>
    <cellStyle name="Normal 3 2 11" xfId="153" xr:uid="{00000000-0005-0000-0000-00009B000000}"/>
    <cellStyle name="Normal 3 2 12" xfId="154" xr:uid="{00000000-0005-0000-0000-00009C000000}"/>
    <cellStyle name="Normal 3 2 13" xfId="155" xr:uid="{00000000-0005-0000-0000-00009D000000}"/>
    <cellStyle name="Normal 3 2 14" xfId="156" xr:uid="{00000000-0005-0000-0000-00009E000000}"/>
    <cellStyle name="Normal 3 2 15" xfId="157" xr:uid="{00000000-0005-0000-0000-00009F000000}"/>
    <cellStyle name="Normal 3 2 16" xfId="158" xr:uid="{00000000-0005-0000-0000-0000A0000000}"/>
    <cellStyle name="Normal 3 2 2" xfId="159" xr:uid="{00000000-0005-0000-0000-0000A1000000}"/>
    <cellStyle name="Normal 3 2 3" xfId="160" xr:uid="{00000000-0005-0000-0000-0000A2000000}"/>
    <cellStyle name="Normal 3 2 4" xfId="161" xr:uid="{00000000-0005-0000-0000-0000A3000000}"/>
    <cellStyle name="Normal 3 2 5" xfId="162" xr:uid="{00000000-0005-0000-0000-0000A4000000}"/>
    <cellStyle name="Normal 3 2 6" xfId="163" xr:uid="{00000000-0005-0000-0000-0000A5000000}"/>
    <cellStyle name="Normal 3 2 7" xfId="164" xr:uid="{00000000-0005-0000-0000-0000A6000000}"/>
    <cellStyle name="Normal 3 2 8" xfId="165" xr:uid="{00000000-0005-0000-0000-0000A7000000}"/>
    <cellStyle name="Normal 3 2 9" xfId="166" xr:uid="{00000000-0005-0000-0000-0000A8000000}"/>
    <cellStyle name="Normal 3 20" xfId="233" xr:uid="{00000000-0005-0000-0000-0000A9000000}"/>
    <cellStyle name="Normal 3 3" xfId="167" xr:uid="{00000000-0005-0000-0000-0000AA000000}"/>
    <cellStyle name="Normal 3 3 10" xfId="168" xr:uid="{00000000-0005-0000-0000-0000AB000000}"/>
    <cellStyle name="Normal 3 3 11" xfId="169" xr:uid="{00000000-0005-0000-0000-0000AC000000}"/>
    <cellStyle name="Normal 3 3 12" xfId="170" xr:uid="{00000000-0005-0000-0000-0000AD000000}"/>
    <cellStyle name="Normal 3 3 13" xfId="171" xr:uid="{00000000-0005-0000-0000-0000AE000000}"/>
    <cellStyle name="Normal 3 3 14" xfId="172" xr:uid="{00000000-0005-0000-0000-0000AF000000}"/>
    <cellStyle name="Normal 3 3 15" xfId="173" xr:uid="{00000000-0005-0000-0000-0000B0000000}"/>
    <cellStyle name="Normal 3 3 16" xfId="174" xr:uid="{00000000-0005-0000-0000-0000B1000000}"/>
    <cellStyle name="Normal 3 3 2" xfId="175" xr:uid="{00000000-0005-0000-0000-0000B2000000}"/>
    <cellStyle name="Normal 3 3 3" xfId="176" xr:uid="{00000000-0005-0000-0000-0000B3000000}"/>
    <cellStyle name="Normal 3 3 4" xfId="177" xr:uid="{00000000-0005-0000-0000-0000B4000000}"/>
    <cellStyle name="Normal 3 3 5" xfId="178" xr:uid="{00000000-0005-0000-0000-0000B5000000}"/>
    <cellStyle name="Normal 3 3 6" xfId="179" xr:uid="{00000000-0005-0000-0000-0000B6000000}"/>
    <cellStyle name="Normal 3 3 7" xfId="180" xr:uid="{00000000-0005-0000-0000-0000B7000000}"/>
    <cellStyle name="Normal 3 3 8" xfId="181" xr:uid="{00000000-0005-0000-0000-0000B8000000}"/>
    <cellStyle name="Normal 3 3 9" xfId="182" xr:uid="{00000000-0005-0000-0000-0000B9000000}"/>
    <cellStyle name="Normal 3 4" xfId="183" xr:uid="{00000000-0005-0000-0000-0000BA000000}"/>
    <cellStyle name="Normal 3 4 2" xfId="184" xr:uid="{00000000-0005-0000-0000-0000BB000000}"/>
    <cellStyle name="Normal 3 4 3" xfId="185" xr:uid="{00000000-0005-0000-0000-0000BC000000}"/>
    <cellStyle name="Normal 3 5" xfId="186" xr:uid="{00000000-0005-0000-0000-0000BD000000}"/>
    <cellStyle name="Normal 3 6" xfId="187" xr:uid="{00000000-0005-0000-0000-0000BE000000}"/>
    <cellStyle name="Normal 3 7" xfId="188" xr:uid="{00000000-0005-0000-0000-0000BF000000}"/>
    <cellStyle name="Normal 3 8" xfId="189" xr:uid="{00000000-0005-0000-0000-0000C0000000}"/>
    <cellStyle name="Normal 3 9" xfId="190" xr:uid="{00000000-0005-0000-0000-0000C1000000}"/>
    <cellStyle name="Normal 4" xfId="231" xr:uid="{00000000-0005-0000-0000-0000C2000000}"/>
    <cellStyle name="Normal 6 10" xfId="191" xr:uid="{00000000-0005-0000-0000-0000C3000000}"/>
    <cellStyle name="Normal 6 10 2" xfId="192" xr:uid="{00000000-0005-0000-0000-0000C4000000}"/>
    <cellStyle name="Normal 6 11" xfId="193" xr:uid="{00000000-0005-0000-0000-0000C5000000}"/>
    <cellStyle name="Normal 6 11 2" xfId="194" xr:uid="{00000000-0005-0000-0000-0000C6000000}"/>
    <cellStyle name="Normal 6 12" xfId="195" xr:uid="{00000000-0005-0000-0000-0000C7000000}"/>
    <cellStyle name="Normal 6 12 2" xfId="196" xr:uid="{00000000-0005-0000-0000-0000C8000000}"/>
    <cellStyle name="Normal 6 13" xfId="197" xr:uid="{00000000-0005-0000-0000-0000C9000000}"/>
    <cellStyle name="Normal 6 13 2" xfId="198" xr:uid="{00000000-0005-0000-0000-0000CA000000}"/>
    <cellStyle name="Normal 6 14" xfId="199" xr:uid="{00000000-0005-0000-0000-0000CB000000}"/>
    <cellStyle name="Normal 6 14 2" xfId="200" xr:uid="{00000000-0005-0000-0000-0000CC000000}"/>
    <cellStyle name="Normal 6 15" xfId="201" xr:uid="{00000000-0005-0000-0000-0000CD000000}"/>
    <cellStyle name="Normal 6 15 2" xfId="202" xr:uid="{00000000-0005-0000-0000-0000CE000000}"/>
    <cellStyle name="Normal 6 16" xfId="203" xr:uid="{00000000-0005-0000-0000-0000CF000000}"/>
    <cellStyle name="Normal 6 16 2" xfId="204" xr:uid="{00000000-0005-0000-0000-0000D0000000}"/>
    <cellStyle name="Normal 6 2" xfId="205" xr:uid="{00000000-0005-0000-0000-0000D1000000}"/>
    <cellStyle name="Normal 6 2 2" xfId="206" xr:uid="{00000000-0005-0000-0000-0000D2000000}"/>
    <cellStyle name="Normal 6 3" xfId="207" xr:uid="{00000000-0005-0000-0000-0000D3000000}"/>
    <cellStyle name="Normal 6 3 2" xfId="208" xr:uid="{00000000-0005-0000-0000-0000D4000000}"/>
    <cellStyle name="Normal 6 4" xfId="209" xr:uid="{00000000-0005-0000-0000-0000D5000000}"/>
    <cellStyle name="Normal 6 4 2" xfId="210" xr:uid="{00000000-0005-0000-0000-0000D6000000}"/>
    <cellStyle name="Normal 6 5" xfId="211" xr:uid="{00000000-0005-0000-0000-0000D7000000}"/>
    <cellStyle name="Normal 6 5 2" xfId="212" xr:uid="{00000000-0005-0000-0000-0000D8000000}"/>
    <cellStyle name="Normal 6 6" xfId="213" xr:uid="{00000000-0005-0000-0000-0000D9000000}"/>
    <cellStyle name="Normal 6 6 2" xfId="214" xr:uid="{00000000-0005-0000-0000-0000DA000000}"/>
    <cellStyle name="Normal 6 7" xfId="215" xr:uid="{00000000-0005-0000-0000-0000DB000000}"/>
    <cellStyle name="Normal 6 7 2" xfId="216" xr:uid="{00000000-0005-0000-0000-0000DC000000}"/>
    <cellStyle name="Normal 6 8" xfId="217" xr:uid="{00000000-0005-0000-0000-0000DD000000}"/>
    <cellStyle name="Normal 6 8 2" xfId="218" xr:uid="{00000000-0005-0000-0000-0000DE000000}"/>
    <cellStyle name="Normal 6 9" xfId="219" xr:uid="{00000000-0005-0000-0000-0000DF000000}"/>
    <cellStyle name="Normal 6 9 2" xfId="220" xr:uid="{00000000-0005-0000-0000-0000E0000000}"/>
    <cellStyle name="Normal 7 2" xfId="221" xr:uid="{00000000-0005-0000-0000-0000E1000000}"/>
    <cellStyle name="Normal 7 2 2" xfId="222" xr:uid="{00000000-0005-0000-0000-0000E2000000}"/>
    <cellStyle name="Normal 7 3" xfId="223" xr:uid="{00000000-0005-0000-0000-0000E3000000}"/>
    <cellStyle name="Normal 7 3 2" xfId="224" xr:uid="{00000000-0005-0000-0000-0000E4000000}"/>
    <cellStyle name="Normal 7 4" xfId="225" xr:uid="{00000000-0005-0000-0000-0000E5000000}"/>
    <cellStyle name="Normal 8 2" xfId="226" xr:uid="{00000000-0005-0000-0000-0000E6000000}"/>
    <cellStyle name="Normal 8 2 2" xfId="227" xr:uid="{00000000-0005-0000-0000-0000E7000000}"/>
    <cellStyle name="Normal 9 2" xfId="228" xr:uid="{00000000-0005-0000-0000-0000E8000000}"/>
    <cellStyle name="Normal 9 2 2" xfId="229" xr:uid="{00000000-0005-0000-0000-0000E9000000}"/>
    <cellStyle name="Normal_sheet_1" xfId="230" xr:uid="{00000000-0005-0000-0000-0000EA000000}"/>
  </cellStyles>
  <dxfs count="19">
    <dxf>
      <font>
        <b val="0"/>
        <i val="0"/>
        <strike val="0"/>
        <condense val="0"/>
        <extend val="0"/>
        <outline val="0"/>
        <shadow val="0"/>
        <u val="none"/>
        <vertAlign val="baseline"/>
        <sz val="12"/>
        <color theme="1"/>
        <name val="Calibri"/>
        <scheme val="minor"/>
      </font>
      <numFmt numFmtId="35" formatCode="_(* #,##0.00_);_(* \(#,##0.00\);_(* &quot;-&quot;??_);_(@_)"/>
    </dxf>
    <dxf>
      <font>
        <strike val="0"/>
        <outline val="0"/>
        <shadow val="0"/>
        <u val="none"/>
        <vertAlign val="baseline"/>
        <sz val="12"/>
        <color theme="1"/>
        <name val="Calibri"/>
        <scheme val="minor"/>
      </font>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theme="1"/>
        <name val="Calibri"/>
        <scheme val="minor"/>
      </font>
      <alignment horizontal="center" vertical="bottom" textRotation="0" wrapText="0" indent="0" justifyLastLine="0" shrinkToFit="0" readingOrder="0"/>
    </dxf>
    <dxf>
      <font>
        <strike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80" formatCode="_(* #,##0_);_(* \(#,##0\);_(* &quot;-&quot;??_);_(@_)"/>
    </dxf>
    <dxf>
      <font>
        <strike val="0"/>
        <outline val="0"/>
        <shadow val="0"/>
        <u val="none"/>
        <vertAlign val="baseline"/>
        <sz val="12"/>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dxf>
    <dxf>
      <font>
        <strike val="0"/>
        <outline val="0"/>
        <shadow val="0"/>
        <u val="none"/>
        <vertAlign val="baseline"/>
        <sz val="12"/>
        <color theme="1"/>
        <name val="Calibri"/>
        <scheme val="minor"/>
      </font>
      <alignment horizontal="center" vertical="bottom" textRotation="0" wrapText="0" indent="0" justifyLastLine="0" shrinkToFit="0" readingOrder="0"/>
      <border diagonalUp="0" diagonalDown="0">
        <left style="thin">
          <color indexed="64"/>
        </left>
        <right/>
        <top/>
        <bottom/>
        <vertical/>
        <horizontal/>
      </border>
    </dxf>
    <dxf>
      <font>
        <strike val="0"/>
        <outline val="0"/>
        <shadow val="0"/>
        <u val="none"/>
        <vertAlign val="baseline"/>
        <sz val="12"/>
        <color theme="1"/>
        <name val="Calibri"/>
        <scheme val="minor"/>
      </font>
    </dxf>
    <dxf>
      <border outline="0">
        <bottom style="thin">
          <color indexed="64"/>
        </bottom>
      </border>
    </dxf>
    <dxf>
      <font>
        <b val="0"/>
        <i val="0"/>
        <strike val="0"/>
        <condense val="0"/>
        <extend val="0"/>
        <outline val="0"/>
        <shadow val="0"/>
        <u val="none"/>
        <vertAlign val="baseline"/>
        <sz val="14"/>
        <color auto="1"/>
        <name val="Calibri"/>
        <scheme val="minor"/>
      </font>
      <fill>
        <patternFill patternType="solid">
          <fgColor indexed="64"/>
          <bgColor theme="9" tint="0.39997558519241921"/>
        </patternFill>
      </fill>
      <alignment horizontal="center" vertical="center" textRotation="0" wrapText="1" indent="0" justifyLastLine="0" shrinkToFit="0" readingOrder="0"/>
    </dxf>
    <dxf>
      <fill>
        <patternFill>
          <bgColor theme="0" tint="-0.14996795556505021"/>
        </patternFill>
      </fill>
    </dxf>
    <dxf>
      <fill>
        <patternFill patternType="solid">
          <fgColor rgb="FFC6E0B4"/>
          <bgColor rgb="FFC6E0B4"/>
        </patternFill>
      </fill>
    </dxf>
    <dxf>
      <fill>
        <patternFill patternType="solid">
          <fgColor rgb="FFC6E0B4"/>
          <bgColor rgb="FFC6E0B4"/>
        </patternFill>
      </fill>
    </dxf>
    <dxf>
      <font>
        <b/>
        <color rgb="FFFFFFFF"/>
      </font>
      <fill>
        <patternFill patternType="solid">
          <fgColor rgb="FF70AD47"/>
          <bgColor rgb="FF70AD47"/>
        </patternFill>
      </fill>
    </dxf>
    <dxf>
      <font>
        <b/>
        <color rgb="FFFFFFFF"/>
      </font>
      <fill>
        <patternFill patternType="solid">
          <fgColor rgb="FF70AD47"/>
          <bgColor rgb="FF70AD47"/>
        </patternFill>
      </fill>
    </dxf>
    <dxf>
      <font>
        <b/>
        <color rgb="FFFFFFFF"/>
      </font>
      <fill>
        <patternFill patternType="solid">
          <fgColor rgb="FF70AD47"/>
          <bgColor rgb="FF70AD47"/>
        </patternFill>
      </fill>
      <border>
        <top style="thick">
          <color rgb="FFFFFFFF"/>
        </top>
      </border>
    </dxf>
    <dxf>
      <font>
        <b/>
        <color rgb="FFFFFFFF"/>
      </font>
      <fill>
        <patternFill patternType="solid">
          <fgColor rgb="FF70AD47"/>
          <bgColor rgb="FF70AD47"/>
        </patternFill>
      </fill>
      <border>
        <bottom style="thick">
          <color rgb="FFFFFFFF"/>
        </bottom>
      </border>
    </dxf>
    <dxf>
      <font>
        <color rgb="FF000000"/>
      </font>
      <fill>
        <patternFill patternType="solid">
          <fgColor rgb="FFE2EFDA"/>
          <bgColor rgb="FFE2EFDA"/>
        </patternFill>
      </fill>
      <border>
        <vertical style="thin">
          <color rgb="FFFFFFFF"/>
        </vertical>
        <horizontal style="thin">
          <color rgb="FFFFFFFF"/>
        </horizontal>
      </border>
    </dxf>
  </dxfs>
  <tableStyles count="1" defaultTableStyle="TableStyleMedium9" defaultPivotStyle="PivotStyleLight16">
    <tableStyle name="TableStyleMedium14 2" pivot="0" count="7" xr9:uid="{00000000-0011-0000-FFFF-FFFF00000000}">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963083</xdr:colOff>
      <xdr:row>85</xdr:row>
      <xdr:rowOff>0</xdr:rowOff>
    </xdr:from>
    <xdr:to>
      <xdr:col>0</xdr:col>
      <xdr:colOff>1555750</xdr:colOff>
      <xdr:row>85</xdr:row>
      <xdr:rowOff>0</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963083" y="10877550"/>
          <a:ext cx="59266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973665</xdr:colOff>
      <xdr:row>88</xdr:row>
      <xdr:rowOff>10583</xdr:rowOff>
    </xdr:from>
    <xdr:to>
      <xdr:col>0</xdr:col>
      <xdr:colOff>1566332</xdr:colOff>
      <xdr:row>88</xdr:row>
      <xdr:rowOff>10583</xdr:rowOff>
    </xdr:to>
    <xdr:cxnSp macro="">
      <xdr:nvCxnSpPr>
        <xdr:cNvPr id="4" name="Straight Arrow Connector 3">
          <a:extLst>
            <a:ext uri="{FF2B5EF4-FFF2-40B4-BE49-F238E27FC236}">
              <a16:creationId xmlns:a16="http://schemas.microsoft.com/office/drawing/2014/main" id="{00000000-0008-0000-0300-000004000000}"/>
            </a:ext>
          </a:extLst>
        </xdr:cNvPr>
        <xdr:cNvCxnSpPr/>
      </xdr:nvCxnSpPr>
      <xdr:spPr>
        <a:xfrm>
          <a:off x="973665" y="11373908"/>
          <a:ext cx="59266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10</xdr:row>
      <xdr:rowOff>38100</xdr:rowOff>
    </xdr:from>
    <xdr:to>
      <xdr:col>0</xdr:col>
      <xdr:colOff>190500</xdr:colOff>
      <xdr:row>11</xdr:row>
      <xdr:rowOff>9525</xdr:rowOff>
    </xdr:to>
    <xdr:pic>
      <xdr:nvPicPr>
        <xdr:cNvPr id="2927" name="Picture 1" descr="BD21298_">
          <a:extLst>
            <a:ext uri="{FF2B5EF4-FFF2-40B4-BE49-F238E27FC236}">
              <a16:creationId xmlns:a16="http://schemas.microsoft.com/office/drawing/2014/main" id="{00000000-0008-0000-1000-00006F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562100"/>
          <a:ext cx="1238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485775</xdr:colOff>
      <xdr:row>10</xdr:row>
      <xdr:rowOff>0</xdr:rowOff>
    </xdr:from>
    <xdr:to>
      <xdr:col>8</xdr:col>
      <xdr:colOff>66675</xdr:colOff>
      <xdr:row>20</xdr:row>
      <xdr:rowOff>0</xdr:rowOff>
    </xdr:to>
    <xdr:sp macro="" textlink="">
      <xdr:nvSpPr>
        <xdr:cNvPr id="71851" name="Line 1">
          <a:extLst>
            <a:ext uri="{FF2B5EF4-FFF2-40B4-BE49-F238E27FC236}">
              <a16:creationId xmlns:a16="http://schemas.microsoft.com/office/drawing/2014/main" id="{00000000-0008-0000-1800-0000AB180100}"/>
            </a:ext>
          </a:extLst>
        </xdr:cNvPr>
        <xdr:cNvSpPr>
          <a:spLocks noChangeShapeType="1"/>
        </xdr:cNvSpPr>
      </xdr:nvSpPr>
      <xdr:spPr bwMode="auto">
        <a:xfrm flipH="1" flipV="1">
          <a:off x="2876550" y="2752725"/>
          <a:ext cx="361950" cy="16859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381000</xdr:colOff>
      <xdr:row>19</xdr:row>
      <xdr:rowOff>47625</xdr:rowOff>
    </xdr:from>
    <xdr:to>
      <xdr:col>8</xdr:col>
      <xdr:colOff>0</xdr:colOff>
      <xdr:row>20</xdr:row>
      <xdr:rowOff>142875</xdr:rowOff>
    </xdr:to>
    <xdr:sp macro="" textlink="">
      <xdr:nvSpPr>
        <xdr:cNvPr id="71852" name="Line 2">
          <a:extLst>
            <a:ext uri="{FF2B5EF4-FFF2-40B4-BE49-F238E27FC236}">
              <a16:creationId xmlns:a16="http://schemas.microsoft.com/office/drawing/2014/main" id="{00000000-0008-0000-1800-0000AC180100}"/>
            </a:ext>
          </a:extLst>
        </xdr:cNvPr>
        <xdr:cNvSpPr>
          <a:spLocks noChangeShapeType="1"/>
        </xdr:cNvSpPr>
      </xdr:nvSpPr>
      <xdr:spPr bwMode="auto">
        <a:xfrm flipH="1" flipV="1">
          <a:off x="2771775" y="4324350"/>
          <a:ext cx="40005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342900</xdr:colOff>
      <xdr:row>22</xdr:row>
      <xdr:rowOff>47625</xdr:rowOff>
    </xdr:from>
    <xdr:to>
      <xdr:col>10</xdr:col>
      <xdr:colOff>142875</xdr:colOff>
      <xdr:row>23</xdr:row>
      <xdr:rowOff>161925</xdr:rowOff>
    </xdr:to>
    <xdr:sp macro="" textlink="">
      <xdr:nvSpPr>
        <xdr:cNvPr id="71853" name="Freeform 4">
          <a:extLst>
            <a:ext uri="{FF2B5EF4-FFF2-40B4-BE49-F238E27FC236}">
              <a16:creationId xmlns:a16="http://schemas.microsoft.com/office/drawing/2014/main" id="{00000000-0008-0000-1800-0000AD180100}"/>
            </a:ext>
          </a:extLst>
        </xdr:cNvPr>
        <xdr:cNvSpPr>
          <a:spLocks/>
        </xdr:cNvSpPr>
      </xdr:nvSpPr>
      <xdr:spPr bwMode="auto">
        <a:xfrm>
          <a:off x="1924050" y="5295900"/>
          <a:ext cx="2305050" cy="276225"/>
        </a:xfrm>
        <a:custGeom>
          <a:avLst/>
          <a:gdLst>
            <a:gd name="T0" fmla="*/ 2147483646 w 242"/>
            <a:gd name="T1" fmla="*/ 2147483646 h 29"/>
            <a:gd name="T2" fmla="*/ 2147483646 w 242"/>
            <a:gd name="T3" fmla="*/ 2147483646 h 29"/>
            <a:gd name="T4" fmla="*/ 0 w 242"/>
            <a:gd name="T5" fmla="*/ 2147483646 h 29"/>
            <a:gd name="T6" fmla="*/ 0 w 242"/>
            <a:gd name="T7" fmla="*/ 0 h 29"/>
            <a:gd name="T8" fmla="*/ 0 60000 65536"/>
            <a:gd name="T9" fmla="*/ 0 60000 65536"/>
            <a:gd name="T10" fmla="*/ 0 60000 65536"/>
            <a:gd name="T11" fmla="*/ 0 60000 65536"/>
            <a:gd name="T12" fmla="*/ 0 w 242"/>
            <a:gd name="T13" fmla="*/ 0 h 29"/>
            <a:gd name="T14" fmla="*/ 242 w 242"/>
            <a:gd name="T15" fmla="*/ 29 h 29"/>
          </a:gdLst>
          <a:ahLst/>
          <a:cxnLst>
            <a:cxn ang="T8">
              <a:pos x="T0" y="T1"/>
            </a:cxn>
            <a:cxn ang="T9">
              <a:pos x="T2" y="T3"/>
            </a:cxn>
            <a:cxn ang="T10">
              <a:pos x="T4" y="T5"/>
            </a:cxn>
            <a:cxn ang="T11">
              <a:pos x="T6" y="T7"/>
            </a:cxn>
          </a:cxnLst>
          <a:rect l="T12" t="T13" r="T14" b="T15"/>
          <a:pathLst>
            <a:path w="242" h="29">
              <a:moveTo>
                <a:pt x="242" y="15"/>
              </a:moveTo>
              <a:lnTo>
                <a:pt x="242" y="29"/>
              </a:lnTo>
              <a:lnTo>
                <a:pt x="0" y="29"/>
              </a:lnTo>
              <a:lnTo>
                <a:pt x="0" y="0"/>
              </a:lnTo>
            </a:path>
          </a:pathLst>
        </a:custGeom>
        <a:noFill/>
        <a:ln w="9525" cap="flat" cmpd="sng">
          <a:solidFill>
            <a:srgbClr val="000000"/>
          </a:solidFill>
          <a:prstDash val="solid"/>
          <a:round/>
          <a:headEnd type="none" w="med" len="med"/>
          <a:tailEnd type="triangle" w="lg" len="lg"/>
        </a:ln>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140BF73-647C-4ABA-8EB0-D0AC7F635C5D}" name="Table3133" displayName="Table3133" ref="A4:E124" totalsRowShown="0" headerRowDxfId="10" dataDxfId="8" headerRowBorderDxfId="9" headerRowCellStyle="Comma">
  <tableColumns count="5">
    <tableColumn id="1" xr3:uid="{226A0026-9698-4AD7-89A0-53E04B0833CD}" name="Range" dataDxfId="7" totalsRowDxfId="6"/>
    <tableColumn id="2" xr3:uid="{7F6CFBB0-6977-43D1-8996-5A9D690D4CBC}" name="Full-Time _x000a_(1.0 FTE)_x000a_Monthly" dataDxfId="5" totalsRowDxfId="4" dataCellStyle="Comma"/>
    <tableColumn id="3" xr3:uid="{F1F002DC-487F-4288-8083-4A82C4996236}" name="Half-Time _x000a_(.50 FTE)_x000a_Monthly" dataDxfId="3" dataCellStyle="Comma">
      <calculatedColumnFormula>Table3133[[#This Row],[Full-Time 
(1.0 FTE)
Monthly]]/2</calculatedColumnFormula>
    </tableColumn>
    <tableColumn id="7" xr3:uid="{D7304D1A-8274-43BC-A0A4-026EAE80499E}" name="Half-Time _x000a_(.50 FTE) _x000a_Bimonthly " dataDxfId="2" dataCellStyle="Comma">
      <calculatedColumnFormula>Table3133[[#This Row],[Half-Time 
(.50 FTE)
Monthly]]/2</calculatedColumnFormula>
    </tableColumn>
    <tableColumn id="4" xr3:uid="{6FBEE782-E4CE-4E38-AE8F-3615E6EA30E7}" name="Half-Time _x000a_(.50 FTE)_x000a_9-month" dataDxfId="1" totalsRowDxfId="0" dataCellStyle="Comma">
      <calculatedColumnFormula>Table3133[[#This Row],[Half-Time 
(.50 FTE)
Monthly]]*9</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ps.wsu.edu/fa-documents/" TargetMode="External"/><Relationship Id="rId1" Type="http://schemas.openxmlformats.org/officeDocument/2006/relationships/hyperlink" Target="http://orso.or.wsu.edu/guidelines.asp"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hrs.wsu.edu/temporary-seasonal-employee-benefits/" TargetMode="External"/><Relationship Id="rId1" Type="http://schemas.openxmlformats.org/officeDocument/2006/relationships/hyperlink" Target="https://hrs.wsu.edu/temporary-seasonal-employee-benefits/"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payroll.wsu.edu/" TargetMode="External"/><Relationship Id="rId2" Type="http://schemas.openxmlformats.org/officeDocument/2006/relationships/hyperlink" Target="https://hrs.wsu.edu/temporary-seasonal-employee-benefits/" TargetMode="External"/><Relationship Id="rId1" Type="http://schemas.openxmlformats.org/officeDocument/2006/relationships/hyperlink" Target="http://hrs.wsu.edu/" TargetMode="External"/><Relationship Id="rId5" Type="http://schemas.openxmlformats.org/officeDocument/2006/relationships/printerSettings" Target="../printerSettings/printerSettings16.bin"/><Relationship Id="rId4" Type="http://schemas.openxmlformats.org/officeDocument/2006/relationships/hyperlink" Target="https://orso.wsu.edu/"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rants.nih.gov/grants/guide/notice-files/NOT-OD-21-049.html" TargetMode="External"/><Relationship Id="rId1" Type="http://schemas.openxmlformats.org/officeDocument/2006/relationships/hyperlink" Target="https://grants.nih.gov/grants/policy/salcap_summary.htm"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ra-catalyst.srainternational.org/uploads/File/USDA_IDC_RateComparison.xls" TargetMode="External"/><Relationship Id="rId1" Type="http://schemas.openxmlformats.org/officeDocument/2006/relationships/hyperlink" Target="http://www.csrees.usda.gov/business/awards/indirect_cost.html" TargetMode="External"/><Relationship Id="rId4"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3" Type="http://schemas.openxmlformats.org/officeDocument/2006/relationships/hyperlink" Target="https://grants.nih.gov/grants/guide/notice-files/NOT-OD-21-049.html" TargetMode="External"/><Relationship Id="rId2" Type="http://schemas.openxmlformats.org/officeDocument/2006/relationships/hyperlink" Target="https://grants.nih.gov/grants/policy/salcap_summary.htm" TargetMode="External"/><Relationship Id="rId1" Type="http://schemas.openxmlformats.org/officeDocument/2006/relationships/hyperlink" Target="https://policies.wsu.edu/prf/index/manuals/70-00-purchasing/"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grants.nih.gov/grants/guide/notice-files/NOT-OD-21-049.html" TargetMode="External"/><Relationship Id="rId7" Type="http://schemas.openxmlformats.org/officeDocument/2006/relationships/comments" Target="../comments1.xml"/><Relationship Id="rId2" Type="http://schemas.openxmlformats.org/officeDocument/2006/relationships/hyperlink" Target="https://grants.nih.gov/grants/policy/salcap_summary.htm" TargetMode="External"/><Relationship Id="rId1" Type="http://schemas.openxmlformats.org/officeDocument/2006/relationships/hyperlink" Target="https://policies.wsu.edu/prf/index/manuals/70-00-purchasing/"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80"/>
  <sheetViews>
    <sheetView showGridLines="0" zoomScaleNormal="100" workbookViewId="0">
      <selection sqref="A1:C1"/>
    </sheetView>
  </sheetViews>
  <sheetFormatPr defaultRowHeight="15"/>
  <cols>
    <col min="1" max="1" width="9.42578125" style="1042" bestFit="1" customWidth="1"/>
    <col min="2" max="2" width="90" style="1042" customWidth="1"/>
    <col min="3" max="3" width="38.42578125" style="1042" customWidth="1"/>
    <col min="4" max="12" width="9.140625" style="1042"/>
    <col min="13" max="38" width="9.140625" style="1043"/>
    <col min="39" max="16384" width="9.140625" style="1042"/>
  </cols>
  <sheetData>
    <row r="1" spans="1:38">
      <c r="A1" s="1414" t="s">
        <v>791</v>
      </c>
      <c r="B1" s="1414"/>
      <c r="C1" s="1414"/>
    </row>
    <row r="2" spans="1:38" ht="21" customHeight="1" thickBot="1">
      <c r="A2" s="1415" t="s">
        <v>773</v>
      </c>
      <c r="B2" s="1415"/>
      <c r="C2" s="1415"/>
    </row>
    <row r="3" spans="1:38" s="1046" customFormat="1" ht="63" customHeight="1" thickTop="1" thickBot="1">
      <c r="A3" s="1417" t="s">
        <v>726</v>
      </c>
      <c r="B3" s="1418"/>
      <c r="C3" s="1419"/>
      <c r="M3" s="1045"/>
      <c r="N3" s="1045"/>
      <c r="O3" s="1045"/>
      <c r="P3" s="1045"/>
      <c r="Q3" s="1045"/>
      <c r="R3" s="1045"/>
      <c r="S3" s="1045"/>
      <c r="T3" s="1045"/>
      <c r="U3" s="1045"/>
      <c r="V3" s="1045"/>
      <c r="W3" s="1045"/>
      <c r="X3" s="1045"/>
      <c r="Y3" s="1045"/>
      <c r="Z3" s="1045"/>
      <c r="AA3" s="1045"/>
      <c r="AB3" s="1045"/>
      <c r="AC3" s="1045"/>
      <c r="AD3" s="1045"/>
      <c r="AE3" s="1045"/>
      <c r="AF3" s="1045"/>
      <c r="AG3" s="1045"/>
      <c r="AH3" s="1045"/>
      <c r="AI3" s="1045"/>
      <c r="AJ3" s="1045"/>
      <c r="AK3" s="1045"/>
      <c r="AL3" s="1045"/>
    </row>
    <row r="4" spans="1:38" ht="15.75" thickTop="1">
      <c r="A4" s="1416" t="s">
        <v>578</v>
      </c>
      <c r="B4" s="1416"/>
      <c r="C4" s="1416"/>
    </row>
    <row r="5" spans="1:38">
      <c r="A5" s="1412" t="s">
        <v>636</v>
      </c>
      <c r="B5" s="1412"/>
      <c r="C5" s="1412"/>
    </row>
    <row r="6" spans="1:38">
      <c r="A6" s="1411" t="s">
        <v>684</v>
      </c>
      <c r="B6" s="1411"/>
      <c r="C6" s="1411"/>
    </row>
    <row r="7" spans="1:38" ht="8.25" customHeight="1">
      <c r="A7" s="1044"/>
    </row>
    <row r="8" spans="1:38" ht="55.5" customHeight="1">
      <c r="A8" s="1412" t="s">
        <v>638</v>
      </c>
      <c r="B8" s="1412"/>
      <c r="C8" s="1412"/>
    </row>
    <row r="9" spans="1:38">
      <c r="C9" s="1047"/>
    </row>
    <row r="10" spans="1:38">
      <c r="A10" s="1049">
        <f>'FY24 DRAFT BEN MODEL'!F38</f>
        <v>0.4363800211511118</v>
      </c>
      <c r="B10" s="1049" t="s">
        <v>641</v>
      </c>
      <c r="C10" s="1048"/>
    </row>
    <row r="11" spans="1:38">
      <c r="A11" s="1049">
        <f>'FY24 DRAFT BEN MODEL'!F39</f>
        <v>0.41392343945734389</v>
      </c>
      <c r="B11" s="1049" t="s">
        <v>642</v>
      </c>
      <c r="C11" s="1048"/>
    </row>
    <row r="12" spans="1:38">
      <c r="C12" s="1048"/>
    </row>
    <row r="13" spans="1:38">
      <c r="A13" s="1049">
        <f>'FY24 DRAFT BEN MODEL'!F41</f>
        <v>0.31228387518459322</v>
      </c>
      <c r="B13" s="1042" t="s">
        <v>639</v>
      </c>
      <c r="C13" s="1048"/>
    </row>
    <row r="14" spans="1:38">
      <c r="A14" s="1049">
        <f>'FY24 DRAFT BEN MODEL'!F40</f>
        <v>0.35175650886738824</v>
      </c>
      <c r="B14" s="1042" t="s">
        <v>640</v>
      </c>
      <c r="C14" s="1048"/>
    </row>
    <row r="15" spans="1:38" ht="30">
      <c r="A15" s="1049">
        <f>(SUM(A10+A11))/2</f>
        <v>0.42515173030422782</v>
      </c>
      <c r="B15" s="1049" t="s">
        <v>683</v>
      </c>
    </row>
    <row r="17" spans="1:3">
      <c r="A17" s="1049">
        <f>'FY24 DRAFT BEN MODEL'!F45</f>
        <v>2.2021918678526046E-2</v>
      </c>
      <c r="B17" s="1049" t="s">
        <v>643</v>
      </c>
      <c r="C17" s="1048"/>
    </row>
    <row r="18" spans="1:3">
      <c r="A18" s="1049">
        <v>0.1</v>
      </c>
      <c r="B18" s="1049" t="s">
        <v>644</v>
      </c>
      <c r="C18" s="1048"/>
    </row>
    <row r="19" spans="1:3">
      <c r="A19" s="1049"/>
      <c r="B19" s="1049"/>
      <c r="C19" s="1048"/>
    </row>
    <row r="20" spans="1:3">
      <c r="A20" s="1049">
        <f>'FY24 DRAFT BEN MODEL'!F47</f>
        <v>0.10070111867852601</v>
      </c>
      <c r="B20" s="1049" t="s">
        <v>645</v>
      </c>
      <c r="C20" s="1048"/>
    </row>
    <row r="21" spans="1:3">
      <c r="A21" s="1049">
        <f>'FY24 DRAFT BEN MODEL'!H47</f>
        <v>0.194601118678526</v>
      </c>
      <c r="B21" s="1049" t="s">
        <v>646</v>
      </c>
      <c r="C21" s="1048"/>
    </row>
    <row r="22" spans="1:3">
      <c r="A22" s="1049">
        <f>'FY24 DRAFT BEN MODEL'!G47</f>
        <v>0.64925486709021596</v>
      </c>
      <c r="B22" s="1049" t="s">
        <v>647</v>
      </c>
      <c r="C22" s="1048"/>
    </row>
    <row r="23" spans="1:3">
      <c r="C23" s="1048"/>
    </row>
    <row r="24" spans="1:3" ht="78" customHeight="1">
      <c r="A24" s="1413" t="s">
        <v>632</v>
      </c>
      <c r="B24" s="1413"/>
      <c r="C24" s="1413"/>
    </row>
    <row r="25" spans="1:3">
      <c r="A25" s="1050"/>
      <c r="B25" s="1050"/>
      <c r="C25" s="1050"/>
    </row>
    <row r="26" spans="1:3" ht="36.75" customHeight="1">
      <c r="A26" s="1413" t="s">
        <v>633</v>
      </c>
      <c r="B26" s="1413"/>
      <c r="C26" s="1413"/>
    </row>
    <row r="27" spans="1:3">
      <c r="A27" s="1050"/>
      <c r="B27" s="1050"/>
      <c r="C27" s="1050"/>
    </row>
    <row r="28" spans="1:3" ht="49.5" customHeight="1">
      <c r="A28" s="1413" t="s">
        <v>670</v>
      </c>
      <c r="B28" s="1413"/>
      <c r="C28" s="1413"/>
    </row>
    <row r="29" spans="1:3">
      <c r="A29" s="1050"/>
      <c r="B29" s="1050"/>
      <c r="C29" s="1050"/>
    </row>
    <row r="30" spans="1:3">
      <c r="A30" s="1412" t="s">
        <v>687</v>
      </c>
      <c r="B30" s="1412"/>
      <c r="C30" s="1412"/>
    </row>
    <row r="31" spans="1:3">
      <c r="A31" s="1050"/>
      <c r="B31" s="1050"/>
      <c r="C31" s="1050"/>
    </row>
    <row r="32" spans="1:3" ht="39" customHeight="1">
      <c r="A32" s="1412" t="s">
        <v>634</v>
      </c>
      <c r="B32" s="1412"/>
      <c r="C32" s="1412"/>
    </row>
    <row r="33" spans="1:3">
      <c r="A33" s="1050"/>
      <c r="B33" s="1050"/>
      <c r="C33" s="1050"/>
    </row>
    <row r="34" spans="1:3" ht="33" customHeight="1">
      <c r="A34" s="1412" t="s">
        <v>758</v>
      </c>
      <c r="B34" s="1412"/>
      <c r="C34" s="1412"/>
    </row>
    <row r="35" spans="1:3">
      <c r="A35" s="1411" t="s">
        <v>685</v>
      </c>
      <c r="B35" s="1411"/>
      <c r="C35" s="1411"/>
    </row>
    <row r="36" spans="1:3" s="1045" customFormat="1">
      <c r="A36" s="1051"/>
      <c r="B36" s="1052"/>
      <c r="C36" s="1052"/>
    </row>
    <row r="37" spans="1:3" s="1043" customFormat="1" ht="34.5" customHeight="1">
      <c r="A37" s="1412" t="s">
        <v>637</v>
      </c>
      <c r="B37" s="1412"/>
      <c r="C37" s="1412"/>
    </row>
    <row r="38" spans="1:3" s="1043" customFormat="1">
      <c r="A38" s="1412" t="s">
        <v>635</v>
      </c>
      <c r="B38" s="1412"/>
      <c r="C38" s="1412"/>
    </row>
    <row r="39" spans="1:3" s="1043" customFormat="1">
      <c r="C39" s="1042"/>
    </row>
    <row r="40" spans="1:3" s="1043" customFormat="1">
      <c r="C40" s="1042"/>
    </row>
    <row r="41" spans="1:3" s="1043" customFormat="1">
      <c r="C41" s="1042"/>
    </row>
    <row r="42" spans="1:3" s="1043" customFormat="1">
      <c r="C42" s="1042"/>
    </row>
    <row r="43" spans="1:3" s="1043" customFormat="1">
      <c r="C43" s="1042"/>
    </row>
    <row r="44" spans="1:3" s="1043" customFormat="1">
      <c r="C44" s="1042"/>
    </row>
    <row r="45" spans="1:3" s="1043" customFormat="1">
      <c r="C45" s="1042"/>
    </row>
    <row r="46" spans="1:3" s="1043" customFormat="1">
      <c r="C46" s="1042"/>
    </row>
    <row r="47" spans="1:3" s="1043" customFormat="1">
      <c r="C47" s="1042"/>
    </row>
    <row r="48" spans="1:3" s="1043" customFormat="1">
      <c r="C48" s="1042"/>
    </row>
    <row r="49" spans="3:3" s="1043" customFormat="1">
      <c r="C49" s="1042"/>
    </row>
    <row r="50" spans="3:3" s="1043" customFormat="1">
      <c r="C50" s="1042"/>
    </row>
    <row r="51" spans="3:3" s="1043" customFormat="1">
      <c r="C51" s="1042"/>
    </row>
    <row r="52" spans="3:3" s="1043" customFormat="1">
      <c r="C52" s="1042"/>
    </row>
    <row r="53" spans="3:3" s="1043" customFormat="1">
      <c r="C53" s="1042"/>
    </row>
    <row r="54" spans="3:3" s="1043" customFormat="1">
      <c r="C54" s="1042"/>
    </row>
    <row r="55" spans="3:3" s="1043" customFormat="1">
      <c r="C55" s="1042"/>
    </row>
    <row r="56" spans="3:3" s="1043" customFormat="1">
      <c r="C56" s="1042"/>
    </row>
    <row r="57" spans="3:3" s="1043" customFormat="1">
      <c r="C57" s="1042"/>
    </row>
    <row r="58" spans="3:3" s="1043" customFormat="1">
      <c r="C58" s="1042"/>
    </row>
    <row r="59" spans="3:3" s="1043" customFormat="1">
      <c r="C59" s="1042"/>
    </row>
    <row r="60" spans="3:3" s="1043" customFormat="1">
      <c r="C60" s="1042"/>
    </row>
    <row r="61" spans="3:3" s="1043" customFormat="1">
      <c r="C61" s="1042"/>
    </row>
    <row r="62" spans="3:3" s="1043" customFormat="1">
      <c r="C62" s="1042"/>
    </row>
    <row r="63" spans="3:3" s="1043" customFormat="1">
      <c r="C63" s="1042"/>
    </row>
    <row r="64" spans="3:3" s="1043" customFormat="1">
      <c r="C64" s="1042"/>
    </row>
    <row r="65" spans="3:3" s="1043" customFormat="1">
      <c r="C65" s="1042"/>
    </row>
    <row r="66" spans="3:3" s="1043" customFormat="1">
      <c r="C66" s="1042"/>
    </row>
    <row r="67" spans="3:3" s="1043" customFormat="1">
      <c r="C67" s="1042"/>
    </row>
    <row r="68" spans="3:3" s="1043" customFormat="1">
      <c r="C68" s="1042"/>
    </row>
    <row r="69" spans="3:3" s="1043" customFormat="1">
      <c r="C69" s="1042"/>
    </row>
    <row r="70" spans="3:3" s="1043" customFormat="1">
      <c r="C70" s="1042"/>
    </row>
    <row r="71" spans="3:3" s="1043" customFormat="1">
      <c r="C71" s="1042"/>
    </row>
    <row r="72" spans="3:3" s="1043" customFormat="1">
      <c r="C72" s="1042"/>
    </row>
    <row r="73" spans="3:3" s="1043" customFormat="1">
      <c r="C73" s="1042"/>
    </row>
    <row r="74" spans="3:3" s="1043" customFormat="1">
      <c r="C74" s="1042"/>
    </row>
    <row r="75" spans="3:3" s="1043" customFormat="1">
      <c r="C75" s="1042"/>
    </row>
    <row r="76" spans="3:3" s="1043" customFormat="1">
      <c r="C76" s="1042"/>
    </row>
    <row r="77" spans="3:3" s="1043" customFormat="1">
      <c r="C77" s="1042"/>
    </row>
    <row r="78" spans="3:3" s="1043" customFormat="1">
      <c r="C78" s="1042"/>
    </row>
    <row r="79" spans="3:3" s="1043" customFormat="1">
      <c r="C79" s="1042"/>
    </row>
    <row r="80" spans="3:3" s="1043" customFormat="1">
      <c r="C80" s="1042"/>
    </row>
    <row r="81" spans="3:3" s="1043" customFormat="1">
      <c r="C81" s="1042"/>
    </row>
    <row r="82" spans="3:3" s="1043" customFormat="1">
      <c r="C82" s="1042"/>
    </row>
    <row r="83" spans="3:3" s="1043" customFormat="1">
      <c r="C83" s="1042"/>
    </row>
    <row r="84" spans="3:3" s="1043" customFormat="1">
      <c r="C84" s="1042"/>
    </row>
    <row r="85" spans="3:3" s="1043" customFormat="1">
      <c r="C85" s="1042"/>
    </row>
    <row r="86" spans="3:3" s="1043" customFormat="1">
      <c r="C86" s="1042"/>
    </row>
    <row r="87" spans="3:3" s="1043" customFormat="1">
      <c r="C87" s="1042"/>
    </row>
    <row r="88" spans="3:3" s="1043" customFormat="1">
      <c r="C88" s="1042"/>
    </row>
    <row r="89" spans="3:3" s="1043" customFormat="1">
      <c r="C89" s="1042"/>
    </row>
    <row r="90" spans="3:3" s="1043" customFormat="1">
      <c r="C90" s="1042"/>
    </row>
    <row r="91" spans="3:3" s="1043" customFormat="1">
      <c r="C91" s="1042"/>
    </row>
    <row r="92" spans="3:3" s="1043" customFormat="1">
      <c r="C92" s="1042"/>
    </row>
    <row r="93" spans="3:3" s="1043" customFormat="1">
      <c r="C93" s="1042"/>
    </row>
    <row r="94" spans="3:3" s="1043" customFormat="1">
      <c r="C94" s="1042"/>
    </row>
    <row r="95" spans="3:3" s="1043" customFormat="1">
      <c r="C95" s="1042"/>
    </row>
    <row r="96" spans="3:3" s="1043" customFormat="1">
      <c r="C96" s="1042"/>
    </row>
    <row r="97" spans="3:3" s="1043" customFormat="1">
      <c r="C97" s="1042"/>
    </row>
    <row r="98" spans="3:3" s="1043" customFormat="1">
      <c r="C98" s="1042"/>
    </row>
    <row r="99" spans="3:3" s="1043" customFormat="1">
      <c r="C99" s="1042"/>
    </row>
    <row r="100" spans="3:3" s="1043" customFormat="1">
      <c r="C100" s="1042"/>
    </row>
    <row r="101" spans="3:3" s="1043" customFormat="1">
      <c r="C101" s="1042"/>
    </row>
    <row r="102" spans="3:3" s="1043" customFormat="1">
      <c r="C102" s="1042"/>
    </row>
    <row r="103" spans="3:3" s="1043" customFormat="1">
      <c r="C103" s="1042"/>
    </row>
    <row r="104" spans="3:3" s="1043" customFormat="1">
      <c r="C104" s="1042"/>
    </row>
    <row r="105" spans="3:3" s="1043" customFormat="1">
      <c r="C105" s="1042"/>
    </row>
    <row r="106" spans="3:3" s="1043" customFormat="1">
      <c r="C106" s="1042"/>
    </row>
    <row r="107" spans="3:3" s="1043" customFormat="1">
      <c r="C107" s="1042"/>
    </row>
    <row r="108" spans="3:3" s="1043" customFormat="1">
      <c r="C108" s="1042"/>
    </row>
    <row r="109" spans="3:3" s="1043" customFormat="1">
      <c r="C109" s="1042"/>
    </row>
    <row r="110" spans="3:3" s="1043" customFormat="1">
      <c r="C110" s="1042"/>
    </row>
    <row r="111" spans="3:3" s="1043" customFormat="1">
      <c r="C111" s="1042"/>
    </row>
    <row r="112" spans="3:3" s="1043" customFormat="1">
      <c r="C112" s="1042"/>
    </row>
    <row r="113" spans="3:3" s="1043" customFormat="1">
      <c r="C113" s="1042"/>
    </row>
    <row r="114" spans="3:3" s="1043" customFormat="1">
      <c r="C114" s="1042"/>
    </row>
    <row r="115" spans="3:3" s="1043" customFormat="1">
      <c r="C115" s="1042"/>
    </row>
    <row r="116" spans="3:3" s="1043" customFormat="1">
      <c r="C116" s="1042"/>
    </row>
    <row r="117" spans="3:3" s="1043" customFormat="1">
      <c r="C117" s="1042"/>
    </row>
    <row r="118" spans="3:3" s="1043" customFormat="1">
      <c r="C118" s="1042"/>
    </row>
    <row r="119" spans="3:3" s="1043" customFormat="1">
      <c r="C119" s="1042"/>
    </row>
    <row r="120" spans="3:3" s="1043" customFormat="1">
      <c r="C120" s="1042"/>
    </row>
    <row r="121" spans="3:3" s="1043" customFormat="1">
      <c r="C121" s="1042"/>
    </row>
    <row r="122" spans="3:3" s="1043" customFormat="1">
      <c r="C122" s="1042"/>
    </row>
    <row r="123" spans="3:3" s="1043" customFormat="1">
      <c r="C123" s="1042"/>
    </row>
    <row r="124" spans="3:3" s="1043" customFormat="1">
      <c r="C124" s="1042"/>
    </row>
    <row r="125" spans="3:3" s="1043" customFormat="1">
      <c r="C125" s="1042"/>
    </row>
    <row r="126" spans="3:3" s="1043" customFormat="1">
      <c r="C126" s="1042"/>
    </row>
    <row r="127" spans="3:3" s="1043" customFormat="1">
      <c r="C127" s="1042"/>
    </row>
    <row r="128" spans="3:3" s="1043" customFormat="1">
      <c r="C128" s="1042"/>
    </row>
    <row r="129" spans="3:3" s="1043" customFormat="1">
      <c r="C129" s="1042"/>
    </row>
    <row r="130" spans="3:3" s="1043" customFormat="1">
      <c r="C130" s="1042"/>
    </row>
    <row r="131" spans="3:3" s="1043" customFormat="1">
      <c r="C131" s="1042"/>
    </row>
    <row r="132" spans="3:3" s="1043" customFormat="1">
      <c r="C132" s="1042"/>
    </row>
    <row r="133" spans="3:3" s="1043" customFormat="1">
      <c r="C133" s="1042"/>
    </row>
    <row r="134" spans="3:3" s="1043" customFormat="1">
      <c r="C134" s="1042"/>
    </row>
    <row r="135" spans="3:3" s="1043" customFormat="1">
      <c r="C135" s="1042"/>
    </row>
    <row r="136" spans="3:3" s="1043" customFormat="1">
      <c r="C136" s="1042"/>
    </row>
    <row r="137" spans="3:3" s="1043" customFormat="1">
      <c r="C137" s="1042"/>
    </row>
    <row r="138" spans="3:3" s="1043" customFormat="1">
      <c r="C138" s="1042"/>
    </row>
    <row r="139" spans="3:3" s="1043" customFormat="1">
      <c r="C139" s="1042"/>
    </row>
    <row r="140" spans="3:3" s="1043" customFormat="1">
      <c r="C140" s="1042"/>
    </row>
    <row r="141" spans="3:3" s="1043" customFormat="1">
      <c r="C141" s="1042"/>
    </row>
    <row r="142" spans="3:3" s="1043" customFormat="1">
      <c r="C142" s="1042"/>
    </row>
    <row r="143" spans="3:3" s="1043" customFormat="1">
      <c r="C143" s="1042"/>
    </row>
    <row r="144" spans="3:3" s="1043" customFormat="1">
      <c r="C144" s="1042"/>
    </row>
    <row r="145" spans="3:3" s="1043" customFormat="1">
      <c r="C145" s="1042"/>
    </row>
    <row r="146" spans="3:3" s="1043" customFormat="1">
      <c r="C146" s="1042"/>
    </row>
    <row r="147" spans="3:3" s="1043" customFormat="1">
      <c r="C147" s="1042"/>
    </row>
    <row r="148" spans="3:3" s="1043" customFormat="1">
      <c r="C148" s="1042"/>
    </row>
    <row r="149" spans="3:3" s="1043" customFormat="1">
      <c r="C149" s="1042"/>
    </row>
    <row r="150" spans="3:3" s="1043" customFormat="1">
      <c r="C150" s="1042"/>
    </row>
    <row r="151" spans="3:3" s="1043" customFormat="1">
      <c r="C151" s="1042"/>
    </row>
    <row r="152" spans="3:3" s="1043" customFormat="1">
      <c r="C152" s="1042"/>
    </row>
    <row r="153" spans="3:3" s="1043" customFormat="1">
      <c r="C153" s="1042"/>
    </row>
    <row r="154" spans="3:3" s="1043" customFormat="1">
      <c r="C154" s="1042"/>
    </row>
    <row r="155" spans="3:3" s="1043" customFormat="1">
      <c r="C155" s="1042"/>
    </row>
    <row r="156" spans="3:3" s="1043" customFormat="1">
      <c r="C156" s="1042"/>
    </row>
    <row r="157" spans="3:3" s="1043" customFormat="1">
      <c r="C157" s="1042"/>
    </row>
    <row r="158" spans="3:3" s="1043" customFormat="1">
      <c r="C158" s="1042"/>
    </row>
    <row r="159" spans="3:3" s="1043" customFormat="1">
      <c r="C159" s="1042"/>
    </row>
    <row r="160" spans="3:3" s="1043" customFormat="1">
      <c r="C160" s="1042"/>
    </row>
    <row r="161" spans="3:3" s="1043" customFormat="1">
      <c r="C161" s="1042"/>
    </row>
    <row r="162" spans="3:3" s="1043" customFormat="1">
      <c r="C162" s="1042"/>
    </row>
    <row r="163" spans="3:3" s="1043" customFormat="1">
      <c r="C163" s="1042"/>
    </row>
    <row r="164" spans="3:3" s="1043" customFormat="1">
      <c r="C164" s="1042"/>
    </row>
    <row r="165" spans="3:3" s="1043" customFormat="1">
      <c r="C165" s="1042"/>
    </row>
    <row r="166" spans="3:3" s="1043" customFormat="1">
      <c r="C166" s="1042"/>
    </row>
    <row r="167" spans="3:3" s="1043" customFormat="1">
      <c r="C167" s="1042"/>
    </row>
    <row r="168" spans="3:3" s="1043" customFormat="1">
      <c r="C168" s="1042"/>
    </row>
    <row r="169" spans="3:3" s="1043" customFormat="1">
      <c r="C169" s="1042"/>
    </row>
    <row r="170" spans="3:3" s="1043" customFormat="1">
      <c r="C170" s="1042"/>
    </row>
    <row r="171" spans="3:3" s="1043" customFormat="1">
      <c r="C171" s="1042"/>
    </row>
    <row r="172" spans="3:3" s="1043" customFormat="1">
      <c r="C172" s="1042"/>
    </row>
    <row r="173" spans="3:3" s="1043" customFormat="1">
      <c r="C173" s="1042"/>
    </row>
    <row r="174" spans="3:3" s="1043" customFormat="1">
      <c r="C174" s="1042"/>
    </row>
    <row r="175" spans="3:3" s="1043" customFormat="1">
      <c r="C175" s="1042"/>
    </row>
    <row r="176" spans="3:3" s="1043" customFormat="1">
      <c r="C176" s="1042"/>
    </row>
    <row r="177" spans="3:3" s="1043" customFormat="1">
      <c r="C177" s="1042"/>
    </row>
    <row r="178" spans="3:3" s="1043" customFormat="1">
      <c r="C178" s="1042"/>
    </row>
    <row r="179" spans="3:3" s="1043" customFormat="1">
      <c r="C179" s="1042"/>
    </row>
    <row r="180" spans="3:3" s="1043" customFormat="1">
      <c r="C180" s="1042"/>
    </row>
  </sheetData>
  <mergeCells count="16">
    <mergeCell ref="A8:C8"/>
    <mergeCell ref="A1:C1"/>
    <mergeCell ref="A2:C2"/>
    <mergeCell ref="A4:C4"/>
    <mergeCell ref="A5:C5"/>
    <mergeCell ref="A6:C6"/>
    <mergeCell ref="A3:C3"/>
    <mergeCell ref="A35:C35"/>
    <mergeCell ref="A37:C37"/>
    <mergeCell ref="A38:C38"/>
    <mergeCell ref="A24:C24"/>
    <mergeCell ref="A26:C26"/>
    <mergeCell ref="A28:C28"/>
    <mergeCell ref="A30:C30"/>
    <mergeCell ref="A32:C32"/>
    <mergeCell ref="A34:C34"/>
  </mergeCells>
  <hyperlinks>
    <hyperlink ref="A6" r:id="rId1" display="http://orso.or.wsu.edu/guidelines.asp " xr:uid="{00000000-0004-0000-0000-000000000000}"/>
    <hyperlink ref="A35" r:id="rId2" xr:uid="{00000000-0004-0000-0000-000001000000}"/>
  </hyperlinks>
  <pageMargins left="0.25" right="0.25" top="0.25" bottom="0.25" header="0.03" footer="0.3"/>
  <pageSetup scale="35" fitToWidth="0" orientation="landscape"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00000"/>
    <pageSetUpPr fitToPage="1"/>
  </sheetPr>
  <dimension ref="A1:M64"/>
  <sheetViews>
    <sheetView topLeftCell="A4" zoomScale="75" workbookViewId="0">
      <selection activeCell="P46" sqref="P46"/>
    </sheetView>
  </sheetViews>
  <sheetFormatPr defaultColWidth="9.28515625" defaultRowHeight="15"/>
  <cols>
    <col min="1" max="1" width="4.140625" style="499" customWidth="1"/>
    <col min="2" max="2" width="12" style="499" customWidth="1"/>
    <col min="3" max="3" width="0" style="499" hidden="1" customWidth="1"/>
    <col min="4" max="4" width="20" style="499" customWidth="1"/>
    <col min="5" max="5" width="3.5703125" style="499" customWidth="1"/>
    <col min="6" max="6" width="0" style="499" hidden="1" customWidth="1"/>
    <col min="7" max="7" width="13.140625" style="499" customWidth="1"/>
    <col min="8" max="12" width="11.42578125" style="499" customWidth="1"/>
    <col min="13" max="13" width="13.28515625" style="499" customWidth="1"/>
    <col min="14" max="16384" width="9.28515625" style="38"/>
  </cols>
  <sheetData>
    <row r="1" spans="1:13" ht="18" customHeight="1">
      <c r="A1" s="440"/>
      <c r="B1" s="541" t="s">
        <v>571</v>
      </c>
      <c r="C1" s="441"/>
      <c r="D1" s="542"/>
      <c r="E1" s="542"/>
      <c r="F1" s="542"/>
      <c r="G1" s="542"/>
      <c r="H1" s="441"/>
      <c r="I1" s="441"/>
      <c r="J1" s="542"/>
      <c r="K1" s="542"/>
      <c r="L1" s="542"/>
      <c r="M1" s="543"/>
    </row>
    <row r="2" spans="1:13">
      <c r="A2" s="443"/>
      <c r="B2" s="444" t="s">
        <v>370</v>
      </c>
      <c r="C2" s="445"/>
      <c r="D2" s="445"/>
      <c r="E2" s="445"/>
      <c r="F2" s="445"/>
      <c r="G2" s="445"/>
      <c r="H2" s="441"/>
      <c r="I2" s="441"/>
      <c r="J2" s="445"/>
      <c r="K2" s="445"/>
      <c r="L2" s="445"/>
      <c r="M2" s="445"/>
    </row>
    <row r="3" spans="1:13" ht="12.75">
      <c r="A3" s="443"/>
      <c r="B3" s="443"/>
      <c r="C3" s="443"/>
      <c r="D3" s="443"/>
      <c r="E3" s="443"/>
      <c r="F3" s="443"/>
      <c r="G3" s="443"/>
      <c r="H3" s="443"/>
      <c r="I3" s="443"/>
      <c r="J3" s="443"/>
      <c r="K3" s="443"/>
      <c r="L3" s="443"/>
      <c r="M3" s="443"/>
    </row>
    <row r="4" spans="1:13" ht="12.75">
      <c r="A4" s="446"/>
      <c r="B4" s="447" t="s">
        <v>371</v>
      </c>
      <c r="C4" s="448"/>
      <c r="D4" s="449"/>
      <c r="E4" s="448"/>
      <c r="F4" s="448"/>
      <c r="G4" s="448"/>
      <c r="H4" s="450"/>
      <c r="I4" s="450"/>
      <c r="J4" s="450"/>
      <c r="K4" s="451"/>
      <c r="L4" s="452" t="s">
        <v>372</v>
      </c>
      <c r="M4" s="453" t="s">
        <v>373</v>
      </c>
    </row>
    <row r="5" spans="1:13">
      <c r="A5" s="446"/>
      <c r="B5" s="454" t="s">
        <v>374</v>
      </c>
      <c r="C5" s="455"/>
      <c r="D5" s="456" t="s">
        <v>375</v>
      </c>
      <c r="E5" s="457" t="s">
        <v>108</v>
      </c>
      <c r="F5" s="458"/>
      <c r="G5" s="459"/>
      <c r="H5" s="460" t="s">
        <v>376</v>
      </c>
      <c r="I5" s="460" t="s">
        <v>105</v>
      </c>
      <c r="J5" s="460" t="s">
        <v>160</v>
      </c>
      <c r="K5" s="460" t="s">
        <v>377</v>
      </c>
      <c r="L5" s="460" t="s">
        <v>378</v>
      </c>
      <c r="M5" s="461" t="s">
        <v>378</v>
      </c>
    </row>
    <row r="6" spans="1:13" ht="12.75">
      <c r="A6" s="462"/>
      <c r="B6" s="463"/>
      <c r="C6" s="443"/>
      <c r="D6" s="464"/>
      <c r="E6" s="443"/>
      <c r="F6" s="443"/>
      <c r="G6" s="443"/>
      <c r="H6" s="465"/>
      <c r="I6" s="465"/>
      <c r="J6" s="465"/>
      <c r="K6" s="466"/>
      <c r="L6" s="466"/>
      <c r="M6" s="467"/>
    </row>
    <row r="7" spans="1:13" ht="15.75">
      <c r="A7" s="468" t="s">
        <v>379</v>
      </c>
      <c r="B7" s="469" t="s">
        <v>380</v>
      </c>
      <c r="C7" s="443"/>
      <c r="D7" s="470" t="s">
        <v>572</v>
      </c>
      <c r="E7" s="471" t="s">
        <v>382</v>
      </c>
      <c r="F7" s="443"/>
      <c r="G7" s="443"/>
      <c r="H7" s="472" t="s">
        <v>25</v>
      </c>
      <c r="I7" s="472" t="s">
        <v>25</v>
      </c>
      <c r="J7" s="472" t="s">
        <v>25</v>
      </c>
      <c r="K7" s="466"/>
      <c r="L7" s="466"/>
      <c r="M7" s="473" t="s">
        <v>25</v>
      </c>
    </row>
    <row r="8" spans="1:13" ht="15.75">
      <c r="A8" s="468" t="s">
        <v>383</v>
      </c>
      <c r="B8" s="474" t="s">
        <v>384</v>
      </c>
      <c r="C8" s="475"/>
      <c r="D8" s="476" t="s">
        <v>385</v>
      </c>
      <c r="E8" s="477" t="s">
        <v>386</v>
      </c>
      <c r="F8" s="475"/>
      <c r="G8" s="475"/>
      <c r="H8" s="478" t="s">
        <v>25</v>
      </c>
      <c r="I8" s="478" t="s">
        <v>25</v>
      </c>
      <c r="J8" s="478" t="s">
        <v>25</v>
      </c>
      <c r="K8" s="479"/>
      <c r="L8" s="479"/>
      <c r="M8" s="480"/>
    </row>
    <row r="9" spans="1:13" ht="15.75">
      <c r="A9" s="468" t="s">
        <v>383</v>
      </c>
      <c r="B9" s="469" t="s">
        <v>387</v>
      </c>
      <c r="C9" s="443"/>
      <c r="D9" s="481" t="s">
        <v>388</v>
      </c>
      <c r="E9" s="471" t="s">
        <v>389</v>
      </c>
      <c r="F9" s="443"/>
      <c r="G9" s="443"/>
      <c r="H9" s="472" t="s">
        <v>25</v>
      </c>
      <c r="I9" s="472" t="s">
        <v>25</v>
      </c>
      <c r="J9" s="472" t="s">
        <v>25</v>
      </c>
      <c r="K9" s="466"/>
      <c r="L9" s="466"/>
      <c r="M9" s="473"/>
    </row>
    <row r="10" spans="1:13" ht="15.75">
      <c r="A10" s="468" t="s">
        <v>383</v>
      </c>
      <c r="B10" s="474" t="s">
        <v>390</v>
      </c>
      <c r="C10" s="475"/>
      <c r="D10" s="476" t="s">
        <v>391</v>
      </c>
      <c r="E10" s="477" t="s">
        <v>392</v>
      </c>
      <c r="F10" s="475"/>
      <c r="G10" s="475"/>
      <c r="H10" s="478" t="s">
        <v>25</v>
      </c>
      <c r="I10" s="478" t="s">
        <v>25</v>
      </c>
      <c r="J10" s="478" t="s">
        <v>25</v>
      </c>
      <c r="K10" s="479"/>
      <c r="L10" s="479"/>
      <c r="M10" s="480"/>
    </row>
    <row r="11" spans="1:13" ht="15.75">
      <c r="A11" s="468">
        <v>3</v>
      </c>
      <c r="B11" s="469" t="s">
        <v>393</v>
      </c>
      <c r="C11" s="443"/>
      <c r="D11" s="481" t="s">
        <v>394</v>
      </c>
      <c r="E11" s="471" t="s">
        <v>573</v>
      </c>
      <c r="F11" s="443"/>
      <c r="G11" s="443"/>
      <c r="H11" s="472" t="s">
        <v>25</v>
      </c>
      <c r="I11" s="472" t="s">
        <v>25</v>
      </c>
      <c r="J11" s="472" t="s">
        <v>25</v>
      </c>
      <c r="K11" s="466"/>
      <c r="L11" s="466"/>
      <c r="M11" s="473"/>
    </row>
    <row r="12" spans="1:13" ht="15.75">
      <c r="A12" s="468">
        <v>3</v>
      </c>
      <c r="B12" s="474" t="s">
        <v>396</v>
      </c>
      <c r="C12" s="475"/>
      <c r="D12" s="476" t="s">
        <v>397</v>
      </c>
      <c r="E12" s="477" t="s">
        <v>574</v>
      </c>
      <c r="F12" s="475"/>
      <c r="G12" s="475"/>
      <c r="H12" s="478" t="s">
        <v>25</v>
      </c>
      <c r="I12" s="478" t="s">
        <v>25</v>
      </c>
      <c r="J12" s="478" t="s">
        <v>25</v>
      </c>
      <c r="K12" s="479"/>
      <c r="L12" s="479"/>
      <c r="M12" s="480"/>
    </row>
    <row r="13" spans="1:13" ht="15.75">
      <c r="A13" s="468">
        <v>3</v>
      </c>
      <c r="B13" s="469" t="s">
        <v>399</v>
      </c>
      <c r="C13" s="443"/>
      <c r="D13" s="481" t="s">
        <v>400</v>
      </c>
      <c r="E13" s="482" t="s">
        <v>574</v>
      </c>
      <c r="F13" s="443"/>
      <c r="G13" s="443"/>
      <c r="H13" s="472" t="s">
        <v>25</v>
      </c>
      <c r="I13" s="472" t="s">
        <v>25</v>
      </c>
      <c r="J13" s="472" t="s">
        <v>25</v>
      </c>
      <c r="K13" s="466"/>
      <c r="L13" s="466"/>
      <c r="M13" s="473"/>
    </row>
    <row r="14" spans="1:13" ht="15.75">
      <c r="A14" s="468">
        <v>4</v>
      </c>
      <c r="B14" s="474" t="s">
        <v>401</v>
      </c>
      <c r="C14" s="475"/>
      <c r="D14" s="476" t="s">
        <v>402</v>
      </c>
      <c r="E14" s="477" t="s">
        <v>489</v>
      </c>
      <c r="F14" s="475"/>
      <c r="G14" s="475"/>
      <c r="H14" s="478" t="s">
        <v>25</v>
      </c>
      <c r="I14" s="478" t="s">
        <v>25</v>
      </c>
      <c r="J14" s="478" t="s">
        <v>25</v>
      </c>
      <c r="K14" s="479" t="s">
        <v>25</v>
      </c>
      <c r="L14" s="479" t="s">
        <v>25</v>
      </c>
      <c r="M14" s="480" t="s">
        <v>25</v>
      </c>
    </row>
    <row r="15" spans="1:13" ht="15.75">
      <c r="A15" s="468">
        <v>5</v>
      </c>
      <c r="B15" s="469" t="s">
        <v>404</v>
      </c>
      <c r="C15" s="443"/>
      <c r="D15" s="481" t="s">
        <v>405</v>
      </c>
      <c r="E15" s="471" t="s">
        <v>490</v>
      </c>
      <c r="F15" s="443"/>
      <c r="G15" s="443"/>
      <c r="H15" s="472" t="s">
        <v>25</v>
      </c>
      <c r="I15" s="472" t="s">
        <v>25</v>
      </c>
      <c r="J15" s="472" t="s">
        <v>25</v>
      </c>
      <c r="K15" s="466"/>
      <c r="L15" s="466"/>
      <c r="M15" s="473"/>
    </row>
    <row r="16" spans="1:13" ht="15.75">
      <c r="A16" s="468">
        <v>5</v>
      </c>
      <c r="B16" s="474" t="s">
        <v>407</v>
      </c>
      <c r="C16" s="475"/>
      <c r="D16" s="476" t="s">
        <v>408</v>
      </c>
      <c r="E16" s="477" t="s">
        <v>491</v>
      </c>
      <c r="F16" s="475"/>
      <c r="G16" s="475"/>
      <c r="H16" s="478" t="s">
        <v>25</v>
      </c>
      <c r="I16" s="478" t="s">
        <v>25</v>
      </c>
      <c r="J16" s="478" t="s">
        <v>25</v>
      </c>
      <c r="K16" s="479"/>
      <c r="L16" s="479"/>
      <c r="M16" s="480"/>
    </row>
    <row r="17" spans="1:13" ht="16.149999999999999" customHeight="1">
      <c r="A17" s="483">
        <v>10</v>
      </c>
      <c r="B17" s="469" t="s">
        <v>410</v>
      </c>
      <c r="C17" s="443"/>
      <c r="D17" s="481" t="s">
        <v>411</v>
      </c>
      <c r="E17" s="471" t="s">
        <v>412</v>
      </c>
      <c r="F17" s="443"/>
      <c r="G17" s="443"/>
      <c r="H17" s="472" t="s">
        <v>25</v>
      </c>
      <c r="I17" s="472" t="s">
        <v>25</v>
      </c>
      <c r="J17" s="472" t="s">
        <v>25</v>
      </c>
      <c r="K17" s="466"/>
      <c r="L17" s="466"/>
      <c r="M17" s="473" t="s">
        <v>25</v>
      </c>
    </row>
    <row r="18" spans="1:13" ht="15.75">
      <c r="A18" s="483"/>
      <c r="B18" s="474" t="s">
        <v>413</v>
      </c>
      <c r="C18" s="475"/>
      <c r="D18" s="476" t="s">
        <v>414</v>
      </c>
      <c r="E18" s="484" t="s">
        <v>415</v>
      </c>
      <c r="F18" s="475"/>
      <c r="G18" s="475"/>
      <c r="H18" s="478" t="s">
        <v>25</v>
      </c>
      <c r="I18" s="478"/>
      <c r="J18" s="478"/>
      <c r="K18" s="479"/>
      <c r="L18" s="479"/>
      <c r="M18" s="480"/>
    </row>
    <row r="19" spans="1:13" ht="16.149999999999999" customHeight="1">
      <c r="A19" s="483">
        <v>6</v>
      </c>
      <c r="B19" s="469" t="s">
        <v>416</v>
      </c>
      <c r="C19" s="443"/>
      <c r="D19" s="481" t="s">
        <v>394</v>
      </c>
      <c r="E19" s="471" t="s">
        <v>574</v>
      </c>
      <c r="F19" s="443"/>
      <c r="G19" s="443"/>
      <c r="H19" s="472"/>
      <c r="I19" s="472"/>
      <c r="J19" s="472"/>
      <c r="K19" s="466"/>
      <c r="L19" s="466"/>
      <c r="M19" s="473" t="s">
        <v>25</v>
      </c>
    </row>
    <row r="20" spans="1:13" ht="15.75">
      <c r="A20" s="483">
        <v>6</v>
      </c>
      <c r="B20" s="474" t="s">
        <v>417</v>
      </c>
      <c r="C20" s="475"/>
      <c r="D20" s="476" t="s">
        <v>397</v>
      </c>
      <c r="E20" s="477" t="s">
        <v>573</v>
      </c>
      <c r="F20" s="475"/>
      <c r="G20" s="475"/>
      <c r="H20" s="478"/>
      <c r="I20" s="478"/>
      <c r="J20" s="478"/>
      <c r="K20" s="479"/>
      <c r="L20" s="479"/>
      <c r="M20" s="480" t="s">
        <v>25</v>
      </c>
    </row>
    <row r="21" spans="1:13" ht="15.75">
      <c r="A21" s="468" t="s">
        <v>418</v>
      </c>
      <c r="B21" s="469" t="s">
        <v>419</v>
      </c>
      <c r="C21" s="443"/>
      <c r="D21" s="481" t="s">
        <v>420</v>
      </c>
      <c r="E21" s="471" t="s">
        <v>492</v>
      </c>
      <c r="F21" s="443"/>
      <c r="G21" s="443"/>
      <c r="H21" s="472" t="s">
        <v>25</v>
      </c>
      <c r="I21" s="472" t="s">
        <v>25</v>
      </c>
      <c r="J21" s="472" t="s">
        <v>25</v>
      </c>
      <c r="K21" s="466"/>
      <c r="L21" s="466"/>
      <c r="M21" s="473" t="s">
        <v>25</v>
      </c>
    </row>
    <row r="22" spans="1:13" ht="15.75">
      <c r="A22" s="468" t="s">
        <v>422</v>
      </c>
      <c r="B22" s="474" t="s">
        <v>423</v>
      </c>
      <c r="C22" s="475"/>
      <c r="D22" s="476" t="s">
        <v>424</v>
      </c>
      <c r="E22" s="477" t="s">
        <v>425</v>
      </c>
      <c r="F22" s="475"/>
      <c r="G22" s="475"/>
      <c r="H22" s="478" t="s">
        <v>25</v>
      </c>
      <c r="I22" s="478" t="s">
        <v>25</v>
      </c>
      <c r="J22" s="478" t="s">
        <v>25</v>
      </c>
      <c r="K22" s="479"/>
      <c r="L22" s="479"/>
      <c r="M22" s="480"/>
    </row>
    <row r="23" spans="1:13" ht="25.5" hidden="1">
      <c r="A23" s="468" t="s">
        <v>422</v>
      </c>
      <c r="B23" s="469" t="s">
        <v>423</v>
      </c>
      <c r="C23" s="443"/>
      <c r="D23" s="485" t="s">
        <v>426</v>
      </c>
      <c r="E23" s="471" t="s">
        <v>427</v>
      </c>
      <c r="F23" s="443"/>
      <c r="G23" s="443"/>
      <c r="H23" s="472" t="s">
        <v>25</v>
      </c>
      <c r="I23" s="472"/>
      <c r="J23" s="472"/>
      <c r="K23" s="466"/>
      <c r="L23" s="466"/>
      <c r="M23" s="473"/>
    </row>
    <row r="24" spans="1:13" ht="15.75">
      <c r="A24" s="468"/>
      <c r="B24" s="469" t="s">
        <v>428</v>
      </c>
      <c r="C24" s="486"/>
      <c r="D24" s="481" t="s">
        <v>429</v>
      </c>
      <c r="E24" s="471" t="s">
        <v>493</v>
      </c>
      <c r="F24" s="443"/>
      <c r="G24" s="443"/>
      <c r="H24" s="487"/>
      <c r="I24" s="487"/>
      <c r="J24" s="487"/>
      <c r="K24" s="488" t="s">
        <v>25</v>
      </c>
      <c r="L24" s="488"/>
      <c r="M24" s="489"/>
    </row>
    <row r="25" spans="1:13" ht="15.75">
      <c r="A25" s="468">
        <v>9</v>
      </c>
      <c r="B25" s="474" t="s">
        <v>431</v>
      </c>
      <c r="C25" s="475"/>
      <c r="D25" s="476" t="s">
        <v>424</v>
      </c>
      <c r="E25" s="484" t="s">
        <v>494</v>
      </c>
      <c r="F25" s="475"/>
      <c r="G25" s="475"/>
      <c r="H25" s="478"/>
      <c r="I25" s="478"/>
      <c r="J25" s="478"/>
      <c r="K25" s="479"/>
      <c r="L25" s="479"/>
      <c r="M25" s="480" t="s">
        <v>25</v>
      </c>
    </row>
    <row r="26" spans="1:13" ht="15.75">
      <c r="A26" s="468"/>
      <c r="B26" s="490" t="s">
        <v>495</v>
      </c>
      <c r="C26" s="491"/>
      <c r="D26" s="492" t="s">
        <v>496</v>
      </c>
      <c r="E26" s="493" t="s">
        <v>497</v>
      </c>
      <c r="F26" s="491"/>
      <c r="G26" s="491"/>
      <c r="H26" s="494"/>
      <c r="I26" s="494"/>
      <c r="J26" s="494"/>
      <c r="K26" s="495" t="s">
        <v>25</v>
      </c>
      <c r="L26" s="496"/>
      <c r="M26" s="497"/>
    </row>
    <row r="27" spans="1:13">
      <c r="A27" s="498"/>
    </row>
    <row r="28" spans="1:13" ht="15.75">
      <c r="A28" s="500"/>
      <c r="B28" s="501"/>
      <c r="C28" s="443"/>
      <c r="D28" s="443"/>
      <c r="E28" s="502" t="s">
        <v>432</v>
      </c>
      <c r="F28" s="503"/>
      <c r="G28" s="503"/>
      <c r="H28" s="503"/>
      <c r="I28" s="503"/>
      <c r="J28" s="503"/>
      <c r="K28" s="504"/>
      <c r="L28" s="443"/>
      <c r="M28" s="443"/>
    </row>
    <row r="29" spans="1:13" ht="15.75">
      <c r="A29" s="500"/>
      <c r="B29" s="501"/>
      <c r="C29" s="501"/>
      <c r="D29" s="501"/>
      <c r="E29" s="505"/>
      <c r="F29" s="506"/>
      <c r="G29" s="506"/>
      <c r="H29" s="507"/>
      <c r="I29" s="508"/>
      <c r="J29" s="506"/>
      <c r="K29" s="509" t="s">
        <v>433</v>
      </c>
      <c r="L29" s="443"/>
      <c r="M29" s="443"/>
    </row>
    <row r="30" spans="1:13" ht="15.75">
      <c r="A30" s="500"/>
      <c r="B30" s="501"/>
      <c r="C30" s="501"/>
      <c r="D30" s="501"/>
      <c r="E30" s="510" t="s">
        <v>434</v>
      </c>
      <c r="F30" s="511"/>
      <c r="G30" s="511"/>
      <c r="H30" s="512" t="s">
        <v>435</v>
      </c>
      <c r="I30" s="508"/>
      <c r="J30" s="506"/>
      <c r="K30" s="513" t="s">
        <v>436</v>
      </c>
      <c r="L30" s="443"/>
      <c r="M30" s="443"/>
    </row>
    <row r="31" spans="1:13" ht="15.75">
      <c r="A31" s="500"/>
      <c r="B31" s="501"/>
      <c r="C31" s="501"/>
      <c r="D31" s="501"/>
      <c r="E31" s="514" t="s">
        <v>437</v>
      </c>
      <c r="F31" s="506"/>
      <c r="G31" s="506"/>
      <c r="H31" s="507" t="s">
        <v>575</v>
      </c>
      <c r="I31" s="508"/>
      <c r="J31" s="506"/>
      <c r="K31" s="515">
        <v>7.2452996857907265E-2</v>
      </c>
      <c r="L31" s="443"/>
      <c r="M31" s="443"/>
    </row>
    <row r="32" spans="1:13" ht="15.75">
      <c r="A32" s="500"/>
      <c r="B32" s="501"/>
      <c r="C32" s="501"/>
      <c r="D32" s="501"/>
      <c r="E32" s="516" t="s">
        <v>439</v>
      </c>
      <c r="F32" s="506"/>
      <c r="G32" s="506"/>
      <c r="H32" s="507" t="s">
        <v>440</v>
      </c>
      <c r="I32" s="508"/>
      <c r="J32" s="506"/>
      <c r="K32" s="515">
        <v>7.5176287629472094E-2</v>
      </c>
      <c r="L32" s="443"/>
      <c r="M32" s="443"/>
    </row>
    <row r="33" spans="1:13" ht="15.75">
      <c r="A33" s="500"/>
      <c r="B33" s="501"/>
      <c r="C33" s="501"/>
      <c r="D33" s="501"/>
      <c r="E33" s="517" t="s">
        <v>105</v>
      </c>
      <c r="F33" s="518"/>
      <c r="G33" s="518"/>
      <c r="H33" s="519" t="s">
        <v>440</v>
      </c>
      <c r="I33" s="520"/>
      <c r="J33" s="518"/>
      <c r="K33" s="521">
        <v>8.0861285720551401E-2</v>
      </c>
      <c r="L33" s="443"/>
      <c r="M33" s="443"/>
    </row>
    <row r="34" spans="1:13" ht="15.75">
      <c r="A34" s="522"/>
      <c r="B34" s="523"/>
      <c r="C34" s="491"/>
      <c r="D34" s="491"/>
      <c r="E34" s="491"/>
      <c r="F34" s="491"/>
      <c r="G34" s="491"/>
      <c r="H34" s="491"/>
      <c r="I34" s="491"/>
      <c r="J34" s="491"/>
      <c r="K34" s="491"/>
      <c r="L34" s="491"/>
      <c r="M34" s="491"/>
    </row>
    <row r="35" spans="1:13" ht="12.75">
      <c r="A35" s="443" t="s">
        <v>441</v>
      </c>
      <c r="B35" s="443"/>
      <c r="C35" s="443"/>
      <c r="D35" s="443"/>
      <c r="E35" s="443"/>
      <c r="F35" s="443"/>
      <c r="G35" s="443"/>
      <c r="H35" s="443"/>
      <c r="I35" s="443"/>
      <c r="J35" s="443"/>
      <c r="K35" s="443"/>
      <c r="L35" s="443"/>
      <c r="M35" s="443"/>
    </row>
    <row r="36" spans="1:13" ht="15.75">
      <c r="A36" s="483">
        <v>1</v>
      </c>
      <c r="B36" s="482" t="s">
        <v>567</v>
      </c>
      <c r="C36" s="443"/>
      <c r="D36" s="443"/>
      <c r="E36" s="443"/>
      <c r="F36" s="443"/>
      <c r="G36" s="443"/>
      <c r="H36" s="443"/>
      <c r="I36" s="443"/>
      <c r="J36" s="443"/>
      <c r="K36" s="443"/>
      <c r="L36" s="443"/>
      <c r="M36" s="443"/>
    </row>
    <row r="37" spans="1:13" ht="15.75">
      <c r="A37" s="483">
        <v>2</v>
      </c>
      <c r="B37" s="471" t="s">
        <v>442</v>
      </c>
      <c r="C37" s="524"/>
      <c r="D37" s="524"/>
      <c r="E37" s="524"/>
      <c r="F37" s="524"/>
      <c r="G37" s="524"/>
      <c r="H37" s="524"/>
      <c r="I37" s="524"/>
      <c r="J37" s="524"/>
      <c r="K37" s="524"/>
      <c r="L37" s="524"/>
      <c r="M37" s="524"/>
    </row>
    <row r="38" spans="1:13" ht="15.75">
      <c r="A38" s="500"/>
      <c r="B38" s="471" t="s">
        <v>443</v>
      </c>
      <c r="C38" s="524"/>
      <c r="D38" s="524"/>
      <c r="E38" s="524"/>
      <c r="F38" s="524"/>
      <c r="G38" s="524"/>
      <c r="H38" s="524"/>
      <c r="I38" s="524"/>
      <c r="J38" s="524"/>
      <c r="K38" s="524"/>
      <c r="L38" s="524"/>
      <c r="M38" s="524"/>
    </row>
    <row r="39" spans="1:13" ht="15.75">
      <c r="A39" s="500"/>
      <c r="B39" s="471" t="s">
        <v>444</v>
      </c>
      <c r="C39" s="524"/>
      <c r="D39" s="524"/>
      <c r="E39" s="524"/>
      <c r="F39" s="524"/>
      <c r="G39" s="524"/>
      <c r="H39" s="524"/>
      <c r="I39" s="524"/>
      <c r="J39" s="524"/>
      <c r="K39" s="524"/>
      <c r="L39" s="524"/>
      <c r="M39" s="524"/>
    </row>
    <row r="40" spans="1:13" ht="15.75">
      <c r="A40" s="500"/>
      <c r="B40" s="471" t="s">
        <v>445</v>
      </c>
      <c r="C40" s="524"/>
      <c r="D40" s="524"/>
      <c r="E40" s="524"/>
      <c r="F40" s="524"/>
      <c r="G40" s="524"/>
      <c r="H40" s="524"/>
      <c r="I40" s="524"/>
      <c r="J40" s="524"/>
      <c r="K40" s="524"/>
      <c r="L40" s="524"/>
      <c r="M40" s="524"/>
    </row>
    <row r="41" spans="1:13" ht="15.75">
      <c r="A41" s="483">
        <v>3</v>
      </c>
      <c r="B41" s="471" t="s">
        <v>576</v>
      </c>
      <c r="C41" s="525"/>
      <c r="D41" s="525"/>
      <c r="E41" s="525"/>
      <c r="F41" s="525"/>
      <c r="G41" s="525"/>
      <c r="H41" s="525"/>
      <c r="I41" s="525"/>
      <c r="J41" s="525"/>
      <c r="K41" s="525"/>
      <c r="L41" s="525"/>
      <c r="M41" s="525"/>
    </row>
    <row r="42" spans="1:13" ht="15.75">
      <c r="A42" s="483">
        <v>4</v>
      </c>
      <c r="B42" s="482" t="s">
        <v>500</v>
      </c>
      <c r="C42" s="525"/>
      <c r="D42" s="525"/>
      <c r="E42" s="525"/>
      <c r="F42" s="525"/>
      <c r="G42" s="525"/>
      <c r="H42" s="525"/>
      <c r="I42" s="525"/>
      <c r="J42" s="525"/>
      <c r="K42" s="525"/>
      <c r="L42" s="525"/>
      <c r="M42" s="525"/>
    </row>
    <row r="43" spans="1:13" ht="15.75">
      <c r="A43" s="500"/>
      <c r="B43" s="482" t="s">
        <v>501</v>
      </c>
      <c r="C43" s="525"/>
      <c r="D43" s="525"/>
      <c r="E43" s="525"/>
      <c r="F43" s="525"/>
      <c r="G43" s="525"/>
      <c r="H43" s="525"/>
      <c r="I43" s="525"/>
      <c r="J43" s="525"/>
      <c r="K43" s="525"/>
      <c r="L43" s="525"/>
      <c r="M43" s="525"/>
    </row>
    <row r="44" spans="1:13" ht="15.75">
      <c r="A44" s="500"/>
      <c r="B44" s="482" t="s">
        <v>502</v>
      </c>
      <c r="C44" s="525"/>
      <c r="D44" s="525"/>
      <c r="E44" s="525"/>
      <c r="F44" s="525"/>
      <c r="G44" s="525"/>
      <c r="H44" s="525"/>
      <c r="I44" s="525"/>
      <c r="J44" s="525"/>
      <c r="K44" s="525"/>
      <c r="L44" s="525"/>
      <c r="M44" s="525"/>
    </row>
    <row r="45" spans="1:13" ht="15.75">
      <c r="A45" s="500">
        <v>5</v>
      </c>
      <c r="B45" s="443" t="s">
        <v>450</v>
      </c>
      <c r="C45" s="525"/>
      <c r="D45" s="525"/>
      <c r="E45" s="525"/>
      <c r="F45" s="525"/>
      <c r="G45" s="525"/>
      <c r="H45" s="525"/>
      <c r="I45" s="525"/>
      <c r="J45" s="525"/>
      <c r="K45" s="525"/>
      <c r="L45" s="525"/>
      <c r="M45" s="525"/>
    </row>
    <row r="46" spans="1:13" ht="15.75">
      <c r="A46" s="500"/>
      <c r="B46" s="443" t="s">
        <v>451</v>
      </c>
      <c r="C46" s="525"/>
      <c r="D46" s="525"/>
      <c r="E46" s="525"/>
      <c r="F46" s="525"/>
      <c r="G46" s="525"/>
      <c r="H46" s="525"/>
      <c r="I46" s="525"/>
      <c r="J46" s="525"/>
      <c r="K46" s="525"/>
      <c r="L46" s="525"/>
      <c r="M46" s="525"/>
    </row>
    <row r="47" spans="1:13" ht="15.75">
      <c r="A47" s="483">
        <v>6</v>
      </c>
      <c r="B47" s="471" t="s">
        <v>452</v>
      </c>
      <c r="C47" s="525"/>
      <c r="D47" s="525"/>
      <c r="E47" s="525"/>
      <c r="F47" s="525"/>
      <c r="G47" s="525"/>
      <c r="H47" s="525"/>
      <c r="I47" s="525"/>
      <c r="J47" s="525"/>
      <c r="K47" s="525"/>
      <c r="L47" s="525"/>
      <c r="M47" s="525"/>
    </row>
    <row r="48" spans="1:13" ht="15.75">
      <c r="A48" s="500"/>
      <c r="B48" s="526" t="s">
        <v>453</v>
      </c>
      <c r="C48" s="525"/>
      <c r="D48" s="525"/>
      <c r="E48" s="525"/>
      <c r="F48" s="525"/>
      <c r="G48" s="525"/>
      <c r="H48" s="525"/>
      <c r="I48" s="525"/>
      <c r="J48" s="525"/>
      <c r="K48" s="525"/>
      <c r="L48" s="525"/>
      <c r="M48" s="525"/>
    </row>
    <row r="49" spans="1:13" ht="15.75">
      <c r="A49" s="500">
        <v>7</v>
      </c>
      <c r="B49" s="471" t="s">
        <v>503</v>
      </c>
      <c r="C49" s="525"/>
      <c r="D49" s="525"/>
      <c r="E49" s="525"/>
      <c r="F49" s="525"/>
      <c r="G49" s="525"/>
      <c r="H49" s="525"/>
      <c r="I49" s="525"/>
      <c r="J49" s="525"/>
      <c r="K49" s="525"/>
      <c r="L49" s="525"/>
      <c r="M49" s="525"/>
    </row>
    <row r="50" spans="1:13" ht="15.75">
      <c r="A50" s="500"/>
      <c r="B50" s="471" t="s">
        <v>577</v>
      </c>
      <c r="C50" s="525"/>
      <c r="D50" s="525"/>
      <c r="E50" s="525"/>
      <c r="F50" s="525"/>
      <c r="G50" s="525"/>
      <c r="H50" s="525"/>
      <c r="I50" s="525"/>
      <c r="J50" s="525"/>
      <c r="K50" s="525"/>
      <c r="L50" s="525"/>
      <c r="M50" s="525"/>
    </row>
    <row r="51" spans="1:13" ht="15.75">
      <c r="A51" s="483">
        <v>8</v>
      </c>
      <c r="B51" s="482" t="s">
        <v>456</v>
      </c>
      <c r="C51" s="525"/>
      <c r="D51" s="525"/>
      <c r="E51" s="525"/>
      <c r="F51" s="525"/>
      <c r="G51" s="525"/>
      <c r="H51" s="525"/>
      <c r="I51" s="525"/>
      <c r="J51" s="525"/>
      <c r="K51" s="525"/>
      <c r="L51" s="525"/>
      <c r="M51" s="525"/>
    </row>
    <row r="52" spans="1:13" ht="12.75">
      <c r="A52" s="443"/>
      <c r="B52" s="482" t="s">
        <v>457</v>
      </c>
      <c r="C52" s="525"/>
      <c r="D52" s="525"/>
      <c r="E52" s="525"/>
      <c r="F52" s="525"/>
      <c r="G52" s="525"/>
      <c r="H52" s="525"/>
      <c r="I52" s="525"/>
      <c r="J52" s="525"/>
      <c r="K52" s="525"/>
      <c r="L52" s="525"/>
      <c r="M52" s="525"/>
    </row>
    <row r="53" spans="1:13" ht="15.75">
      <c r="A53" s="500">
        <v>9</v>
      </c>
      <c r="B53" s="482" t="s">
        <v>458</v>
      </c>
      <c r="C53" s="525"/>
      <c r="D53" s="525"/>
      <c r="E53" s="525"/>
      <c r="F53" s="525"/>
      <c r="G53" s="525"/>
      <c r="H53" s="525"/>
      <c r="I53" s="525"/>
      <c r="J53" s="525"/>
      <c r="K53" s="525"/>
      <c r="L53" s="525"/>
      <c r="M53" s="525"/>
    </row>
    <row r="54" spans="1:13" ht="15.75">
      <c r="A54" s="500"/>
      <c r="B54" s="482" t="s">
        <v>459</v>
      </c>
      <c r="C54" s="525"/>
      <c r="D54" s="525"/>
      <c r="E54" s="525"/>
      <c r="F54" s="525"/>
      <c r="G54" s="525"/>
      <c r="H54" s="525"/>
      <c r="I54" s="525"/>
      <c r="J54" s="525"/>
      <c r="K54" s="525"/>
      <c r="L54" s="525"/>
      <c r="M54" s="525"/>
    </row>
    <row r="55" spans="1:13" ht="15.75">
      <c r="A55" s="500"/>
      <c r="B55" s="482" t="s">
        <v>460</v>
      </c>
      <c r="C55" s="525"/>
      <c r="D55" s="525"/>
      <c r="E55" s="525"/>
      <c r="F55" s="525"/>
      <c r="G55" s="525"/>
      <c r="H55" s="525"/>
      <c r="I55" s="525"/>
      <c r="J55" s="525"/>
      <c r="K55" s="525"/>
      <c r="L55" s="525"/>
      <c r="M55" s="525"/>
    </row>
    <row r="56" spans="1:13" ht="18" customHeight="1">
      <c r="A56" s="500">
        <v>10</v>
      </c>
      <c r="B56" s="471" t="s">
        <v>153</v>
      </c>
      <c r="C56" s="525"/>
      <c r="D56" s="525"/>
      <c r="E56" s="525"/>
      <c r="F56" s="525"/>
      <c r="G56" s="525"/>
      <c r="H56" s="525"/>
      <c r="I56" s="525"/>
      <c r="J56" s="525"/>
      <c r="K56" s="525"/>
      <c r="L56" s="525"/>
      <c r="M56" s="525"/>
    </row>
    <row r="57" spans="1:13" ht="18" customHeight="1">
      <c r="A57" s="500"/>
      <c r="B57" s="471" t="s">
        <v>154</v>
      </c>
      <c r="C57" s="525"/>
      <c r="D57" s="525"/>
      <c r="E57" s="525"/>
      <c r="F57" s="525"/>
      <c r="G57" s="525"/>
      <c r="H57" s="525"/>
      <c r="I57" s="525"/>
      <c r="J57" s="525"/>
      <c r="K57" s="525"/>
      <c r="L57" s="525"/>
      <c r="M57" s="525"/>
    </row>
    <row r="58" spans="1:13" ht="17.45" customHeight="1">
      <c r="A58" s="500"/>
      <c r="B58" s="471"/>
      <c r="C58" s="525"/>
      <c r="D58" s="525"/>
      <c r="E58" s="525"/>
      <c r="F58" s="525"/>
      <c r="G58" s="525"/>
      <c r="H58" s="525"/>
      <c r="I58" s="525"/>
      <c r="J58" s="525"/>
      <c r="K58" s="525"/>
      <c r="L58" s="525"/>
      <c r="M58" s="525"/>
    </row>
    <row r="59" spans="1:13" ht="15.6" customHeight="1">
      <c r="A59" s="527"/>
      <c r="B59" s="528"/>
      <c r="C59" s="525"/>
      <c r="D59" s="525"/>
      <c r="E59" s="525"/>
      <c r="F59" s="525"/>
      <c r="G59" s="525"/>
      <c r="H59" s="525"/>
      <c r="I59" s="525"/>
      <c r="J59" s="525"/>
      <c r="K59" s="525"/>
      <c r="L59" s="525"/>
      <c r="M59" s="525"/>
    </row>
    <row r="60" spans="1:13">
      <c r="A60" s="529"/>
      <c r="B60" s="440"/>
      <c r="C60" s="525"/>
      <c r="D60" s="525"/>
      <c r="E60" s="525"/>
      <c r="F60" s="525"/>
      <c r="G60" s="525"/>
      <c r="H60" s="525"/>
      <c r="I60" s="525"/>
      <c r="J60" s="525"/>
      <c r="K60" s="525"/>
      <c r="L60" s="525"/>
      <c r="M60" s="525"/>
    </row>
    <row r="61" spans="1:13" ht="15.75">
      <c r="A61" s="483"/>
      <c r="B61" s="471"/>
      <c r="C61" s="525"/>
      <c r="D61" s="525"/>
      <c r="E61" s="525"/>
      <c r="F61" s="525"/>
      <c r="G61" s="525"/>
      <c r="H61" s="525"/>
      <c r="I61" s="525"/>
      <c r="J61" s="525"/>
      <c r="K61" s="525"/>
      <c r="L61" s="525"/>
      <c r="M61" s="525"/>
    </row>
    <row r="62" spans="1:13" ht="15.75">
      <c r="A62" s="500"/>
      <c r="B62" s="528"/>
      <c r="C62" s="525"/>
      <c r="D62" s="525"/>
      <c r="E62" s="525"/>
      <c r="F62" s="525"/>
      <c r="G62" s="525"/>
      <c r="H62" s="525"/>
      <c r="I62" s="525"/>
      <c r="J62" s="525"/>
      <c r="K62" s="525"/>
      <c r="L62" s="525"/>
      <c r="M62" s="525"/>
    </row>
    <row r="63" spans="1:13" ht="15.75">
      <c r="A63" s="500"/>
      <c r="B63" s="528"/>
      <c r="C63" s="525"/>
      <c r="D63" s="525"/>
      <c r="E63" s="525"/>
      <c r="F63" s="525"/>
      <c r="G63" s="525"/>
      <c r="H63" s="525"/>
      <c r="I63" s="525"/>
      <c r="J63" s="525"/>
      <c r="K63" s="525"/>
      <c r="L63" s="525"/>
      <c r="M63" s="525"/>
    </row>
    <row r="64" spans="1:13" ht="12.75">
      <c r="A64" s="525"/>
      <c r="B64" s="525"/>
      <c r="C64" s="525"/>
      <c r="D64" s="525"/>
      <c r="E64" s="525"/>
      <c r="F64" s="525"/>
      <c r="G64" s="525"/>
      <c r="H64" s="525"/>
      <c r="I64" s="525"/>
      <c r="J64" s="525"/>
      <c r="K64" s="525"/>
      <c r="L64" s="525"/>
      <c r="M64" s="525"/>
    </row>
  </sheetData>
  <pageMargins left="0.51" right="0.53" top="0.87" bottom="0.91" header="0.5" footer="0.5"/>
  <pageSetup scale="77" orientation="portrait" cellComments="asDisplayed" horizontalDpi="300" verticalDpi="300"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132"/>
  <sheetViews>
    <sheetView topLeftCell="A46" zoomScale="95" zoomScaleNormal="95" workbookViewId="0">
      <selection sqref="A1:H1"/>
    </sheetView>
  </sheetViews>
  <sheetFormatPr defaultColWidth="9.28515625" defaultRowHeight="12.75"/>
  <cols>
    <col min="1" max="1" width="9" style="40" customWidth="1"/>
    <col min="2" max="2" width="19" style="40" customWidth="1"/>
    <col min="3" max="3" width="21.85546875" style="40" customWidth="1"/>
    <col min="4" max="4" width="12.5703125" style="40" customWidth="1"/>
    <col min="5" max="5" width="15.140625" style="40" customWidth="1"/>
    <col min="6" max="6" width="10.5703125" style="40" hidden="1" customWidth="1"/>
    <col min="7" max="7" width="31.7109375" style="40" customWidth="1"/>
    <col min="8" max="8" width="13.140625" style="38" customWidth="1"/>
    <col min="9" max="9" width="10.42578125" style="38" customWidth="1"/>
    <col min="10" max="16384" width="9.28515625" style="38"/>
  </cols>
  <sheetData>
    <row r="1" spans="1:9" ht="27.6" customHeight="1">
      <c r="A1" s="1507" t="s">
        <v>107</v>
      </c>
      <c r="B1" s="1507"/>
      <c r="C1" s="1507"/>
      <c r="D1" s="1507"/>
      <c r="E1" s="1507"/>
      <c r="F1" s="1507"/>
      <c r="G1" s="1507"/>
      <c r="H1" s="1507"/>
      <c r="I1" s="45"/>
    </row>
    <row r="2" spans="1:9" ht="23.45" customHeight="1">
      <c r="A2" s="1508" t="s">
        <v>240</v>
      </c>
      <c r="B2" s="1508"/>
      <c r="C2" s="1508"/>
      <c r="D2" s="1508"/>
      <c r="E2" s="1508"/>
      <c r="F2" s="1508"/>
      <c r="G2" s="1508"/>
      <c r="H2" s="1508"/>
      <c r="I2" s="46"/>
    </row>
    <row r="3" spans="1:9" ht="15.75" customHeight="1">
      <c r="A3" s="47"/>
      <c r="B3" s="48"/>
      <c r="C3" s="48"/>
      <c r="D3" s="48"/>
      <c r="E3" s="48"/>
      <c r="F3" s="48"/>
      <c r="G3" s="48"/>
      <c r="H3" s="122"/>
      <c r="I3" s="48"/>
    </row>
    <row r="4" spans="1:9">
      <c r="A4" s="49" t="s">
        <v>142</v>
      </c>
      <c r="B4" s="49" t="s">
        <v>180</v>
      </c>
      <c r="C4" s="48"/>
      <c r="D4" s="48"/>
      <c r="E4" s="48"/>
      <c r="F4" s="48"/>
      <c r="G4" s="48"/>
      <c r="H4" s="48" t="s">
        <v>143</v>
      </c>
      <c r="I4" s="48"/>
    </row>
    <row r="5" spans="1:9">
      <c r="A5" s="48"/>
      <c r="B5" s="49" t="s">
        <v>144</v>
      </c>
      <c r="C5" s="48"/>
      <c r="D5" s="48"/>
      <c r="E5" s="48"/>
      <c r="F5" s="48"/>
      <c r="G5" s="48"/>
      <c r="H5" s="48"/>
      <c r="I5" s="48"/>
    </row>
    <row r="6" spans="1:9">
      <c r="A6" s="48"/>
      <c r="B6" s="49" t="s">
        <v>145</v>
      </c>
      <c r="C6" s="48"/>
      <c r="D6" s="48"/>
      <c r="E6" s="48"/>
      <c r="F6" s="48"/>
      <c r="G6" s="48"/>
      <c r="H6" s="48"/>
      <c r="I6" s="48"/>
    </row>
    <row r="7" spans="1:9" ht="15.75">
      <c r="A7" s="50"/>
      <c r="B7" s="50"/>
      <c r="C7" s="50"/>
      <c r="D7" s="51" t="s">
        <v>108</v>
      </c>
      <c r="E7" s="51" t="s">
        <v>109</v>
      </c>
      <c r="F7" s="50"/>
      <c r="G7" s="50"/>
      <c r="H7" s="50"/>
      <c r="I7" s="50"/>
    </row>
    <row r="8" spans="1:9" ht="18.75">
      <c r="A8" s="52" t="s">
        <v>156</v>
      </c>
      <c r="B8" s="53" t="s">
        <v>225</v>
      </c>
      <c r="C8" s="53"/>
      <c r="D8" s="54">
        <v>6.2E-2</v>
      </c>
      <c r="E8" s="55" t="s">
        <v>110</v>
      </c>
      <c r="F8" s="50"/>
      <c r="G8" s="50"/>
      <c r="H8" s="50"/>
      <c r="I8" s="50"/>
    </row>
    <row r="9" spans="1:9" ht="18.75">
      <c r="A9" s="52">
        <v>5</v>
      </c>
      <c r="B9" s="53" t="s">
        <v>111</v>
      </c>
      <c r="C9" s="56"/>
      <c r="D9" s="54">
        <v>1.4500000000000001E-2</v>
      </c>
      <c r="E9" s="55" t="s">
        <v>110</v>
      </c>
      <c r="F9" s="50"/>
      <c r="G9" s="50"/>
      <c r="H9" s="50"/>
      <c r="I9" s="50"/>
    </row>
    <row r="10" spans="1:9" ht="15.75">
      <c r="A10" s="50"/>
      <c r="B10" s="56" t="s">
        <v>112</v>
      </c>
      <c r="C10" s="56"/>
      <c r="D10" s="54">
        <v>0.05</v>
      </c>
      <c r="E10" s="55" t="s">
        <v>110</v>
      </c>
      <c r="F10" s="50"/>
      <c r="G10" s="50"/>
      <c r="H10" s="50"/>
      <c r="I10" s="50"/>
    </row>
    <row r="11" spans="1:9" ht="15.75">
      <c r="A11" s="50"/>
      <c r="B11" s="56" t="s">
        <v>113</v>
      </c>
      <c r="C11" s="56"/>
      <c r="D11" s="54">
        <v>7.4999999999999997E-2</v>
      </c>
      <c r="E11" s="55" t="s">
        <v>110</v>
      </c>
      <c r="F11" s="50"/>
      <c r="G11" s="50"/>
      <c r="H11" s="50"/>
      <c r="I11" s="50"/>
    </row>
    <row r="12" spans="1:9" ht="15.75">
      <c r="A12" s="50"/>
      <c r="B12" s="56" t="s">
        <v>114</v>
      </c>
      <c r="C12" s="56"/>
      <c r="D12" s="54">
        <v>0.1</v>
      </c>
      <c r="E12" s="55" t="s">
        <v>110</v>
      </c>
      <c r="F12" s="50"/>
      <c r="G12" s="50"/>
      <c r="H12" s="50"/>
      <c r="I12" s="50"/>
    </row>
    <row r="13" spans="1:9" ht="18.75">
      <c r="A13" s="52"/>
      <c r="B13" s="56" t="s">
        <v>115</v>
      </c>
      <c r="C13" s="56"/>
      <c r="D13" s="54">
        <v>5.3100000000000001E-2</v>
      </c>
      <c r="E13" s="55" t="s">
        <v>110</v>
      </c>
      <c r="F13" s="50"/>
      <c r="G13" s="50"/>
      <c r="H13" s="50"/>
      <c r="I13" s="50"/>
    </row>
    <row r="14" spans="1:9" ht="18.75">
      <c r="A14" s="52"/>
      <c r="B14" s="56" t="s">
        <v>116</v>
      </c>
      <c r="C14" s="56"/>
      <c r="D14" s="54">
        <v>5.3100000000000001E-2</v>
      </c>
      <c r="E14" s="55" t="s">
        <v>110</v>
      </c>
      <c r="F14" s="50"/>
      <c r="G14" s="50"/>
      <c r="H14" s="50"/>
      <c r="I14" s="50"/>
    </row>
    <row r="15" spans="1:9" ht="18.75">
      <c r="A15" s="52"/>
      <c r="B15" s="56" t="s">
        <v>117</v>
      </c>
      <c r="C15" s="56"/>
      <c r="D15" s="54">
        <v>5.3100000000000001E-2</v>
      </c>
      <c r="E15" s="55" t="s">
        <v>110</v>
      </c>
      <c r="F15" s="50"/>
      <c r="G15" s="50"/>
      <c r="H15" s="50"/>
      <c r="I15" s="50"/>
    </row>
    <row r="16" spans="1:9" ht="18.75">
      <c r="A16" s="52"/>
      <c r="B16" s="56" t="s">
        <v>118</v>
      </c>
      <c r="C16" s="56"/>
      <c r="D16" s="54">
        <v>6.1400000000000003E-2</v>
      </c>
      <c r="E16" s="55" t="s">
        <v>110</v>
      </c>
      <c r="F16" s="50"/>
      <c r="G16" s="50"/>
      <c r="H16" s="50"/>
      <c r="I16" s="50"/>
    </row>
    <row r="17" spans="1:9" ht="18.75">
      <c r="A17" s="52"/>
      <c r="B17" s="56" t="s">
        <v>119</v>
      </c>
      <c r="C17" s="56"/>
      <c r="D17" s="54">
        <v>6.1400000000000003E-2</v>
      </c>
      <c r="E17" s="55" t="s">
        <v>110</v>
      </c>
      <c r="F17" s="50"/>
      <c r="G17" s="50"/>
      <c r="H17" s="50"/>
      <c r="I17" s="50"/>
    </row>
    <row r="18" spans="1:9" ht="18.75">
      <c r="A18" s="52"/>
      <c r="B18" s="56" t="s">
        <v>120</v>
      </c>
      <c r="C18" s="56"/>
      <c r="D18" s="54">
        <v>8.6199999999999999E-2</v>
      </c>
      <c r="E18" s="55" t="s">
        <v>110</v>
      </c>
      <c r="F18" s="50"/>
      <c r="G18" s="50"/>
      <c r="H18" s="50"/>
      <c r="I18" s="50"/>
    </row>
    <row r="19" spans="1:9" ht="18.75">
      <c r="A19" s="52"/>
      <c r="B19" s="56" t="s">
        <v>121</v>
      </c>
      <c r="C19" s="56"/>
      <c r="D19" s="54">
        <v>5.3100000000000001E-2</v>
      </c>
      <c r="E19" s="55" t="s">
        <v>122</v>
      </c>
      <c r="F19" s="50"/>
      <c r="G19" s="50"/>
      <c r="H19" s="50"/>
      <c r="I19" s="50"/>
    </row>
    <row r="20" spans="1:9" ht="18.75">
      <c r="A20" s="52"/>
      <c r="B20" s="56" t="s">
        <v>123</v>
      </c>
      <c r="C20" s="56"/>
      <c r="D20" s="54">
        <v>5.3100000000000001E-2</v>
      </c>
      <c r="E20" s="55" t="s">
        <v>122</v>
      </c>
      <c r="F20" s="50"/>
      <c r="G20" s="50"/>
      <c r="H20" s="50"/>
      <c r="I20" s="50"/>
    </row>
    <row r="21" spans="1:9" ht="18.75">
      <c r="A21" s="57"/>
      <c r="B21" s="53" t="s">
        <v>124</v>
      </c>
      <c r="C21" s="53"/>
      <c r="D21" s="54">
        <v>4.4999999999999997E-3</v>
      </c>
      <c r="E21" s="55" t="s">
        <v>110</v>
      </c>
      <c r="F21" s="50"/>
      <c r="G21" s="50"/>
      <c r="H21" s="50"/>
      <c r="I21" s="50"/>
    </row>
    <row r="22" spans="1:9" ht="18.75">
      <c r="A22" s="57"/>
      <c r="B22" s="53" t="s">
        <v>125</v>
      </c>
      <c r="C22" s="53"/>
      <c r="D22" s="58">
        <v>27.33</v>
      </c>
      <c r="E22" s="55" t="s">
        <v>126</v>
      </c>
      <c r="F22" s="50"/>
      <c r="G22" s="50"/>
      <c r="H22" s="50"/>
      <c r="I22" s="50"/>
    </row>
    <row r="23" spans="1:9" ht="18.75">
      <c r="A23" s="57"/>
      <c r="B23" s="53" t="s">
        <v>173</v>
      </c>
      <c r="C23" s="53"/>
      <c r="D23" s="58">
        <v>850</v>
      </c>
      <c r="E23" s="53" t="s">
        <v>127</v>
      </c>
      <c r="F23" s="50"/>
      <c r="G23" s="50"/>
      <c r="H23" s="50"/>
      <c r="I23" s="50"/>
    </row>
    <row r="24" spans="1:9" ht="18.75" hidden="1" customHeight="1">
      <c r="A24" s="52">
        <v>7</v>
      </c>
      <c r="B24" s="53" t="s">
        <v>146</v>
      </c>
      <c r="C24" s="53"/>
      <c r="D24" s="58">
        <v>850</v>
      </c>
      <c r="E24" s="53" t="s">
        <v>127</v>
      </c>
      <c r="F24" s="50"/>
      <c r="G24" s="50"/>
      <c r="H24" s="50"/>
      <c r="I24" s="50"/>
    </row>
    <row r="25" spans="1:9" ht="18.75">
      <c r="A25" s="57"/>
      <c r="B25" s="53" t="s">
        <v>128</v>
      </c>
      <c r="C25" s="53"/>
      <c r="D25" s="58">
        <v>710</v>
      </c>
      <c r="E25" s="53" t="s">
        <v>157</v>
      </c>
      <c r="F25" s="50"/>
      <c r="G25" s="50"/>
      <c r="H25" s="50"/>
      <c r="I25" s="50"/>
    </row>
    <row r="26" spans="1:9" ht="18.75">
      <c r="A26" s="57"/>
      <c r="B26" s="53" t="s">
        <v>129</v>
      </c>
      <c r="C26" s="53"/>
      <c r="D26" s="58">
        <v>850</v>
      </c>
      <c r="E26" s="53" t="s">
        <v>130</v>
      </c>
      <c r="F26" s="50"/>
      <c r="G26" s="50"/>
      <c r="H26" s="50"/>
      <c r="I26" s="50"/>
    </row>
    <row r="27" spans="1:9" ht="18.75">
      <c r="A27" s="52">
        <v>2</v>
      </c>
      <c r="B27" s="59" t="s">
        <v>131</v>
      </c>
      <c r="C27" s="59"/>
      <c r="D27" s="50"/>
      <c r="E27" s="50"/>
      <c r="F27" s="50"/>
      <c r="G27" s="50"/>
      <c r="H27" s="50"/>
      <c r="I27" s="50"/>
    </row>
    <row r="28" spans="1:9" ht="15.75">
      <c r="A28" s="60" t="s">
        <v>147</v>
      </c>
      <c r="B28" s="61"/>
      <c r="C28" s="62"/>
      <c r="D28" s="62"/>
      <c r="E28" s="62"/>
      <c r="F28" s="62"/>
      <c r="G28" s="62"/>
      <c r="H28" s="62" t="s">
        <v>143</v>
      </c>
      <c r="I28" s="62"/>
    </row>
    <row r="29" spans="1:9" ht="18.75">
      <c r="A29" s="57"/>
      <c r="B29" s="56" t="s">
        <v>174</v>
      </c>
      <c r="C29" s="53" t="s">
        <v>264</v>
      </c>
      <c r="D29" s="63"/>
      <c r="E29" s="50"/>
      <c r="F29" s="50"/>
      <c r="G29" s="50"/>
      <c r="H29" s="50"/>
      <c r="I29" s="50"/>
    </row>
    <row r="30" spans="1:9" ht="18.75" hidden="1" customHeight="1">
      <c r="A30" s="57"/>
      <c r="B30" s="53" t="s">
        <v>148</v>
      </c>
      <c r="C30" s="53" t="s">
        <v>243</v>
      </c>
      <c r="D30" s="63"/>
      <c r="E30" s="50"/>
      <c r="F30" s="50"/>
      <c r="G30" s="50"/>
      <c r="H30" s="50"/>
      <c r="I30" s="50"/>
    </row>
    <row r="31" spans="1:9" ht="18.75">
      <c r="A31" s="57"/>
      <c r="B31" s="53" t="s">
        <v>132</v>
      </c>
      <c r="C31" s="53" t="s">
        <v>258</v>
      </c>
      <c r="D31" s="63"/>
      <c r="E31" s="50"/>
      <c r="F31" s="50"/>
      <c r="G31" s="50"/>
      <c r="H31" s="50"/>
      <c r="I31" s="50"/>
    </row>
    <row r="32" spans="1:9" ht="18.75">
      <c r="A32" s="57"/>
      <c r="B32" s="56" t="s">
        <v>133</v>
      </c>
      <c r="C32" s="53" t="s">
        <v>257</v>
      </c>
      <c r="D32" s="63"/>
      <c r="E32" s="50"/>
      <c r="F32" s="50"/>
      <c r="G32" s="50"/>
      <c r="H32" s="50"/>
      <c r="I32" s="50"/>
    </row>
    <row r="33" spans="1:9" ht="18.75">
      <c r="A33" s="57"/>
      <c r="B33" s="56" t="s">
        <v>149</v>
      </c>
      <c r="C33" s="53" t="s">
        <v>259</v>
      </c>
      <c r="D33" s="63"/>
      <c r="E33" s="50"/>
      <c r="F33" s="50"/>
      <c r="G33" s="50"/>
      <c r="H33" s="50"/>
      <c r="I33" s="50"/>
    </row>
    <row r="34" spans="1:9" ht="18.75">
      <c r="A34" s="52">
        <v>3</v>
      </c>
      <c r="B34" s="64" t="s">
        <v>134</v>
      </c>
      <c r="C34" s="65"/>
      <c r="D34" s="62"/>
      <c r="E34" s="62"/>
      <c r="F34" s="50"/>
      <c r="G34" s="50"/>
      <c r="H34" s="50"/>
      <c r="I34" s="50"/>
    </row>
    <row r="35" spans="1:9" ht="18.75">
      <c r="A35" s="57"/>
      <c r="B35" s="50"/>
      <c r="C35" s="50"/>
      <c r="D35" s="66" t="s">
        <v>175</v>
      </c>
      <c r="E35" s="66" t="s">
        <v>223</v>
      </c>
      <c r="F35" s="67"/>
      <c r="G35" s="68" t="s">
        <v>241</v>
      </c>
      <c r="H35" s="68"/>
      <c r="I35" s="50"/>
    </row>
    <row r="36" spans="1:9" ht="18.75">
      <c r="A36" s="57"/>
      <c r="B36" s="69" t="s">
        <v>158</v>
      </c>
      <c r="C36" s="69"/>
      <c r="D36" s="70">
        <v>0.34599999999999997</v>
      </c>
      <c r="E36" s="70">
        <v>0.372</v>
      </c>
      <c r="F36" s="71"/>
      <c r="G36" s="72">
        <v>0.40699999999999997</v>
      </c>
      <c r="H36" s="73"/>
      <c r="I36" s="50"/>
    </row>
    <row r="37" spans="1:9" ht="18.75">
      <c r="A37" s="57"/>
      <c r="B37" s="69" t="s">
        <v>159</v>
      </c>
      <c r="C37" s="69"/>
      <c r="D37" s="70">
        <v>0.33300000000000002</v>
      </c>
      <c r="E37" s="70">
        <v>0.35099999999999998</v>
      </c>
      <c r="F37" s="71"/>
      <c r="G37" s="72">
        <v>0.38600000000000001</v>
      </c>
      <c r="H37" s="73"/>
      <c r="I37" s="50"/>
    </row>
    <row r="38" spans="1:9" ht="18.75">
      <c r="A38" s="57"/>
      <c r="B38" s="69" t="s">
        <v>160</v>
      </c>
      <c r="C38" s="69"/>
      <c r="D38" s="70">
        <v>0.27900000000000003</v>
      </c>
      <c r="E38" s="70">
        <v>0.31283210035093206</v>
      </c>
      <c r="F38" s="71"/>
      <c r="G38" s="72">
        <v>0.34</v>
      </c>
      <c r="H38" s="73"/>
      <c r="I38" s="50"/>
    </row>
    <row r="39" spans="1:9" ht="18.75">
      <c r="A39" s="57"/>
      <c r="B39" s="69" t="s">
        <v>105</v>
      </c>
      <c r="C39" s="69"/>
      <c r="D39" s="70">
        <v>0.255</v>
      </c>
      <c r="E39" s="70">
        <v>0.28699999999999998</v>
      </c>
      <c r="F39" s="71"/>
      <c r="G39" s="72">
        <v>0.308</v>
      </c>
      <c r="H39" s="73"/>
      <c r="I39" s="50"/>
    </row>
    <row r="40" spans="1:9" ht="13.9" customHeight="1">
      <c r="A40" s="57"/>
      <c r="B40" s="69"/>
      <c r="C40" s="69"/>
      <c r="D40" s="70"/>
      <c r="E40" s="70"/>
      <c r="F40" s="71"/>
      <c r="G40" s="72"/>
      <c r="H40" s="50"/>
      <c r="I40" s="50"/>
    </row>
    <row r="41" spans="1:9" ht="18.75">
      <c r="A41" s="57"/>
      <c r="B41" s="69" t="s">
        <v>161</v>
      </c>
      <c r="C41" s="69"/>
      <c r="D41" s="70">
        <v>0.29399999999999998</v>
      </c>
      <c r="E41" s="70">
        <v>0.32293779511951887</v>
      </c>
      <c r="F41" s="71"/>
      <c r="G41" s="72">
        <v>0.35099999999999998</v>
      </c>
      <c r="H41" s="50"/>
      <c r="I41" s="50"/>
    </row>
    <row r="42" spans="1:9" ht="15" customHeight="1">
      <c r="A42" s="57"/>
      <c r="B42" s="74"/>
      <c r="C42" s="74"/>
      <c r="D42" s="71"/>
      <c r="E42" s="71"/>
      <c r="F42" s="71"/>
      <c r="G42" s="75" t="s">
        <v>162</v>
      </c>
      <c r="H42" s="76" t="s">
        <v>163</v>
      </c>
      <c r="I42" s="50"/>
    </row>
    <row r="43" spans="1:9" ht="18.75">
      <c r="A43" s="57">
        <v>4</v>
      </c>
      <c r="B43" s="69" t="s">
        <v>164</v>
      </c>
      <c r="C43" s="69"/>
      <c r="D43" s="70">
        <v>0.113</v>
      </c>
      <c r="E43" s="70">
        <v>0.108</v>
      </c>
      <c r="F43" s="50"/>
      <c r="G43" s="77">
        <v>0.106</v>
      </c>
      <c r="H43" s="78">
        <v>0.64700000000000002</v>
      </c>
      <c r="I43" s="72"/>
    </row>
    <row r="44" spans="1:9" ht="18.75">
      <c r="A44" s="57">
        <v>6</v>
      </c>
      <c r="B44" s="79" t="s">
        <v>135</v>
      </c>
      <c r="C44" s="79"/>
      <c r="D44" s="71"/>
      <c r="E44" s="71"/>
      <c r="F44" s="71"/>
      <c r="G44" s="72" t="s">
        <v>228</v>
      </c>
      <c r="H44" s="50"/>
      <c r="I44" s="50"/>
    </row>
    <row r="45" spans="1:9" ht="15.6" customHeight="1">
      <c r="A45" s="57"/>
      <c r="B45" s="79"/>
      <c r="C45" s="79"/>
      <c r="D45" s="107" t="s">
        <v>136</v>
      </c>
      <c r="E45" s="80" t="s">
        <v>136</v>
      </c>
      <c r="F45" s="71"/>
      <c r="G45" s="81" t="s">
        <v>150</v>
      </c>
      <c r="H45" s="82" t="s">
        <v>137</v>
      </c>
      <c r="I45" s="83"/>
    </row>
    <row r="46" spans="1:9" ht="18.75">
      <c r="A46" s="57">
        <v>6</v>
      </c>
      <c r="B46" s="79" t="s">
        <v>138</v>
      </c>
      <c r="C46" s="79"/>
      <c r="D46" s="108">
        <v>9.0999999999999998E-2</v>
      </c>
      <c r="E46" s="84">
        <v>9.5000000000000001E-2</v>
      </c>
      <c r="F46" s="71"/>
      <c r="G46" s="85" t="s">
        <v>260</v>
      </c>
      <c r="H46" s="77">
        <v>0.76600000000000001</v>
      </c>
      <c r="I46" s="72"/>
    </row>
    <row r="47" spans="1:9" ht="13.9" customHeight="1">
      <c r="A47" s="57"/>
      <c r="B47" s="79"/>
      <c r="C47" s="79"/>
      <c r="D47" s="71"/>
      <c r="E47" s="71"/>
      <c r="F47" s="71"/>
      <c r="G47" s="72"/>
      <c r="H47" s="86"/>
      <c r="I47" s="86"/>
    </row>
    <row r="48" spans="1:9" ht="18.75">
      <c r="A48" s="57">
        <v>1</v>
      </c>
      <c r="B48" s="87" t="s">
        <v>242</v>
      </c>
      <c r="C48" s="79"/>
      <c r="D48" s="71"/>
      <c r="E48" s="71"/>
      <c r="F48" s="71"/>
      <c r="G48" s="50"/>
      <c r="H48" s="50"/>
      <c r="I48" s="50"/>
    </row>
    <row r="49" spans="1:9" ht="18.600000000000001" customHeight="1">
      <c r="A49" s="57">
        <v>2</v>
      </c>
      <c r="B49" s="87" t="s">
        <v>226</v>
      </c>
      <c r="C49" s="88"/>
      <c r="D49" s="89"/>
      <c r="E49" s="89"/>
      <c r="F49" s="89"/>
      <c r="G49" s="90"/>
      <c r="H49" s="90"/>
      <c r="I49" s="90"/>
    </row>
    <row r="50" spans="1:9">
      <c r="A50" s="91"/>
      <c r="B50" s="92" t="s">
        <v>261</v>
      </c>
      <c r="C50" s="93"/>
      <c r="D50" s="90"/>
      <c r="E50" s="90"/>
      <c r="F50" s="89"/>
      <c r="G50" s="90"/>
      <c r="H50" s="90"/>
      <c r="I50" s="90"/>
    </row>
    <row r="51" spans="1:9" ht="19.149999999999999" customHeight="1">
      <c r="A51" s="57">
        <v>3</v>
      </c>
      <c r="B51" s="87" t="s">
        <v>151</v>
      </c>
      <c r="C51" s="88"/>
      <c r="D51" s="90"/>
      <c r="E51" s="90"/>
      <c r="F51" s="89"/>
      <c r="G51" s="90"/>
      <c r="H51" s="90"/>
      <c r="I51" s="90"/>
    </row>
    <row r="52" spans="1:9">
      <c r="A52" s="94"/>
      <c r="B52" s="87" t="s">
        <v>262</v>
      </c>
      <c r="C52" s="88"/>
      <c r="D52" s="90"/>
      <c r="E52" s="90"/>
      <c r="F52" s="89"/>
      <c r="G52" s="90"/>
      <c r="H52" s="90"/>
      <c r="I52" s="90"/>
    </row>
    <row r="53" spans="1:9">
      <c r="A53" s="94"/>
      <c r="B53" s="95" t="s">
        <v>152</v>
      </c>
      <c r="C53" s="88"/>
      <c r="D53" s="90"/>
      <c r="E53" s="90"/>
      <c r="F53" s="89"/>
      <c r="G53" s="90"/>
      <c r="H53" s="90"/>
      <c r="I53" s="90"/>
    </row>
    <row r="54" spans="1:9">
      <c r="A54" s="96"/>
      <c r="B54" s="97" t="s">
        <v>181</v>
      </c>
      <c r="C54" s="96"/>
      <c r="D54" s="96"/>
      <c r="E54" s="96"/>
      <c r="F54" s="96"/>
      <c r="G54" s="98"/>
      <c r="H54" s="98"/>
      <c r="I54" s="98"/>
    </row>
    <row r="55" spans="1:9" ht="13.15" customHeight="1">
      <c r="A55" s="99"/>
      <c r="B55" s="97" t="s">
        <v>139</v>
      </c>
      <c r="C55" s="96"/>
      <c r="D55" s="96"/>
      <c r="E55" s="96"/>
      <c r="F55" s="96"/>
      <c r="G55" s="98"/>
      <c r="H55" s="98"/>
      <c r="I55" s="98"/>
    </row>
    <row r="56" spans="1:9">
      <c r="A56" s="96"/>
      <c r="B56" s="100" t="s">
        <v>176</v>
      </c>
      <c r="C56" s="96"/>
      <c r="D56" s="96"/>
      <c r="E56" s="96"/>
      <c r="F56" s="96"/>
      <c r="G56" s="98"/>
      <c r="H56" s="98"/>
      <c r="I56" s="98"/>
    </row>
    <row r="57" spans="1:9">
      <c r="A57" s="96"/>
      <c r="B57" s="100" t="s">
        <v>182</v>
      </c>
      <c r="C57" s="96"/>
      <c r="D57" s="96"/>
      <c r="E57" s="96"/>
      <c r="F57" s="96"/>
      <c r="G57" s="98"/>
      <c r="H57" s="98"/>
      <c r="I57" s="98"/>
    </row>
    <row r="58" spans="1:9" ht="17.45" customHeight="1">
      <c r="A58" s="57">
        <v>4</v>
      </c>
      <c r="B58" s="95" t="s">
        <v>165</v>
      </c>
      <c r="C58" s="90"/>
      <c r="D58" s="90"/>
      <c r="E58" s="90"/>
      <c r="F58" s="89"/>
      <c r="G58" s="90"/>
      <c r="H58" s="90"/>
      <c r="I58" s="90"/>
    </row>
    <row r="59" spans="1:9">
      <c r="A59" s="96"/>
      <c r="B59" s="100" t="s">
        <v>255</v>
      </c>
      <c r="C59" s="96"/>
      <c r="D59" s="96"/>
      <c r="E59" s="96"/>
      <c r="F59" s="96"/>
      <c r="G59" s="98"/>
    </row>
    <row r="60" spans="1:9" ht="18.75">
      <c r="A60" s="57">
        <v>5</v>
      </c>
      <c r="B60" s="100" t="s">
        <v>153</v>
      </c>
      <c r="C60" s="96"/>
      <c r="D60" s="96"/>
      <c r="E60" s="96"/>
      <c r="F60" s="96"/>
      <c r="G60" s="98"/>
      <c r="H60" s="98"/>
      <c r="I60" s="98"/>
    </row>
    <row r="61" spans="1:9">
      <c r="A61" s="96"/>
      <c r="B61" s="100" t="s">
        <v>154</v>
      </c>
      <c r="C61" s="96"/>
      <c r="D61" s="96"/>
      <c r="E61" s="96"/>
      <c r="F61" s="96"/>
      <c r="G61" s="98"/>
      <c r="H61" s="98"/>
      <c r="I61" s="98"/>
    </row>
    <row r="62" spans="1:9" ht="18.75">
      <c r="A62" s="57">
        <v>6</v>
      </c>
      <c r="B62" s="100" t="s">
        <v>140</v>
      </c>
      <c r="C62" s="96"/>
      <c r="D62" s="96"/>
      <c r="E62" s="96"/>
      <c r="F62" s="96"/>
      <c r="G62" s="98"/>
      <c r="H62" s="98"/>
      <c r="I62" s="98"/>
    </row>
    <row r="63" spans="1:9" ht="18.75" hidden="1" customHeight="1">
      <c r="A63" s="57">
        <v>7</v>
      </c>
      <c r="B63" s="100" t="s">
        <v>227</v>
      </c>
      <c r="C63" s="96"/>
      <c r="D63" s="96"/>
      <c r="E63" s="96"/>
      <c r="F63" s="95"/>
      <c r="G63" s="98"/>
    </row>
    <row r="64" spans="1:9">
      <c r="A64" s="95"/>
      <c r="B64" s="96"/>
      <c r="C64" s="96"/>
      <c r="D64" s="101"/>
      <c r="E64" s="96"/>
      <c r="F64" s="95"/>
      <c r="G64" s="98"/>
    </row>
    <row r="65" spans="1:7">
      <c r="A65" s="102"/>
      <c r="B65" s="96"/>
      <c r="C65" s="96"/>
      <c r="D65" s="102"/>
      <c r="E65" s="96"/>
      <c r="F65" s="102"/>
      <c r="G65" s="98"/>
    </row>
    <row r="66" spans="1:7">
      <c r="A66" s="96"/>
      <c r="B66" s="96"/>
      <c r="C66" s="96"/>
      <c r="D66" s="96"/>
      <c r="E66" s="96"/>
      <c r="F66" s="101"/>
      <c r="G66" s="98"/>
    </row>
    <row r="67" spans="1:7">
      <c r="A67" s="41"/>
      <c r="B67" s="42"/>
      <c r="C67" s="42"/>
      <c r="D67" s="43"/>
      <c r="E67" s="42"/>
      <c r="F67" s="43"/>
      <c r="G67" s="42"/>
    </row>
    <row r="68" spans="1:7">
      <c r="A68" s="41"/>
      <c r="B68" s="42"/>
      <c r="C68" s="42"/>
      <c r="D68" s="43"/>
      <c r="E68" s="42"/>
      <c r="F68" s="43"/>
      <c r="G68" s="42"/>
    </row>
    <row r="69" spans="1:7">
      <c r="A69" s="41"/>
      <c r="B69" s="42"/>
      <c r="C69" s="42"/>
      <c r="D69" s="43"/>
      <c r="E69" s="42"/>
      <c r="F69" s="43"/>
      <c r="G69" s="42"/>
    </row>
    <row r="70" spans="1:7">
      <c r="A70" s="42"/>
      <c r="B70" s="42"/>
      <c r="C70" s="42"/>
      <c r="D70" s="44"/>
      <c r="E70" s="42"/>
      <c r="F70" s="43"/>
      <c r="G70" s="42"/>
    </row>
    <row r="71" spans="1:7">
      <c r="A71" s="41"/>
      <c r="B71" s="42"/>
      <c r="C71" s="42"/>
      <c r="D71" s="43"/>
      <c r="E71" s="42"/>
      <c r="F71" s="43"/>
      <c r="G71" s="42"/>
    </row>
    <row r="72" spans="1:7">
      <c r="A72" s="42"/>
      <c r="B72" s="42"/>
      <c r="C72" s="42"/>
      <c r="D72" s="42"/>
      <c r="E72" s="42"/>
      <c r="F72" s="42"/>
      <c r="G72" s="42"/>
    </row>
    <row r="73" spans="1:7">
      <c r="A73" s="41"/>
      <c r="B73" s="42"/>
      <c r="C73" s="42"/>
      <c r="D73" s="43"/>
      <c r="E73" s="42"/>
      <c r="G73" s="42"/>
    </row>
    <row r="74" spans="1:7">
      <c r="A74" s="41"/>
      <c r="B74" s="42"/>
      <c r="C74" s="42"/>
      <c r="D74" s="43"/>
      <c r="E74" s="42"/>
      <c r="G74" s="42"/>
    </row>
    <row r="75" spans="1:7">
      <c r="A75" s="42"/>
      <c r="B75" s="42"/>
      <c r="C75" s="42"/>
      <c r="D75" s="42"/>
      <c r="E75" s="42"/>
      <c r="G75" s="42"/>
    </row>
    <row r="76" spans="1:7">
      <c r="A76" s="41"/>
      <c r="B76" s="42"/>
      <c r="C76" s="42"/>
      <c r="D76" s="43"/>
      <c r="E76" s="42"/>
      <c r="F76" s="42"/>
      <c r="G76" s="42"/>
    </row>
    <row r="77" spans="1:7">
      <c r="A77" s="41"/>
      <c r="B77" s="42"/>
      <c r="C77" s="42"/>
      <c r="D77" s="43"/>
      <c r="E77" s="42"/>
      <c r="F77" s="41"/>
      <c r="G77" s="42"/>
    </row>
    <row r="78" spans="1:7">
      <c r="A78" s="42"/>
      <c r="B78" s="42"/>
      <c r="C78" s="42"/>
      <c r="D78" s="42"/>
      <c r="E78" s="42"/>
      <c r="F78" s="42"/>
      <c r="G78" s="42"/>
    </row>
    <row r="79" spans="1:7">
      <c r="A79" s="42"/>
      <c r="B79" s="42"/>
      <c r="C79" s="42"/>
      <c r="D79" s="42"/>
      <c r="E79" s="42"/>
      <c r="F79" s="42"/>
      <c r="G79" s="42"/>
    </row>
    <row r="80" spans="1:7">
      <c r="A80" s="42"/>
      <c r="B80" s="42"/>
      <c r="C80" s="42"/>
      <c r="D80" s="42"/>
      <c r="E80" s="42"/>
      <c r="F80" s="42"/>
      <c r="G80" s="42"/>
    </row>
    <row r="81" spans="1:7">
      <c r="A81" s="42"/>
      <c r="B81" s="42"/>
      <c r="C81" s="42"/>
      <c r="D81" s="42"/>
      <c r="E81" s="42"/>
      <c r="F81" s="41"/>
      <c r="G81" s="42"/>
    </row>
    <row r="82" spans="1:7">
      <c r="A82" s="41"/>
      <c r="B82" s="42"/>
      <c r="C82" s="42"/>
      <c r="D82" s="43"/>
      <c r="E82" s="42"/>
      <c r="F82" s="41"/>
      <c r="G82" s="42"/>
    </row>
    <row r="83" spans="1:7">
      <c r="A83" s="44"/>
      <c r="B83" s="42"/>
      <c r="C83" s="42"/>
      <c r="D83" s="44"/>
      <c r="E83" s="42"/>
      <c r="F83" s="44"/>
      <c r="G83" s="42"/>
    </row>
    <row r="84" spans="1:7">
      <c r="A84" s="42"/>
      <c r="B84" s="42"/>
      <c r="C84" s="42"/>
      <c r="D84" s="42"/>
      <c r="E84" s="42"/>
      <c r="F84" s="43"/>
      <c r="G84" s="42"/>
    </row>
    <row r="85" spans="1:7">
      <c r="A85" s="41"/>
      <c r="B85" s="42"/>
      <c r="C85" s="42"/>
      <c r="D85" s="43"/>
      <c r="E85" s="42"/>
      <c r="F85" s="43"/>
      <c r="G85" s="42"/>
    </row>
    <row r="86" spans="1:7">
      <c r="A86" s="41"/>
      <c r="B86" s="42"/>
      <c r="C86" s="42"/>
      <c r="D86" s="43"/>
      <c r="E86" s="42"/>
      <c r="F86" s="43"/>
      <c r="G86" s="42"/>
    </row>
    <row r="87" spans="1:7">
      <c r="A87" s="41"/>
      <c r="B87" s="42"/>
      <c r="C87" s="42"/>
      <c r="D87" s="43"/>
      <c r="E87" s="42"/>
      <c r="F87" s="43"/>
      <c r="G87" s="42"/>
    </row>
    <row r="88" spans="1:7">
      <c r="A88" s="42"/>
      <c r="B88" s="42"/>
      <c r="C88" s="42"/>
      <c r="D88" s="44"/>
      <c r="E88" s="42"/>
      <c r="F88" s="43"/>
      <c r="G88" s="42"/>
    </row>
    <row r="89" spans="1:7">
      <c r="A89" s="41"/>
      <c r="B89" s="42"/>
      <c r="C89" s="42"/>
      <c r="D89" s="43"/>
      <c r="E89" s="42"/>
      <c r="F89" s="43"/>
      <c r="G89" s="42"/>
    </row>
    <row r="90" spans="1:7">
      <c r="A90" s="42"/>
      <c r="B90" s="42"/>
      <c r="C90" s="42"/>
      <c r="D90" s="42"/>
      <c r="E90" s="42"/>
      <c r="F90" s="42"/>
      <c r="G90" s="42"/>
    </row>
    <row r="91" spans="1:7">
      <c r="A91" s="41"/>
      <c r="B91" s="42"/>
      <c r="C91" s="42"/>
      <c r="D91" s="43"/>
      <c r="E91" s="42"/>
      <c r="F91" s="41"/>
      <c r="G91" s="42"/>
    </row>
    <row r="92" spans="1:7">
      <c r="A92" s="41"/>
      <c r="B92" s="42"/>
      <c r="C92" s="42"/>
      <c r="D92" s="43"/>
      <c r="E92" s="42"/>
      <c r="F92" s="41"/>
      <c r="G92" s="42"/>
    </row>
    <row r="93" spans="1:7">
      <c r="A93" s="42"/>
      <c r="B93" s="42"/>
      <c r="C93" s="42"/>
      <c r="D93" s="42"/>
      <c r="E93" s="42"/>
      <c r="F93" s="41"/>
      <c r="G93" s="42"/>
    </row>
    <row r="94" spans="1:7">
      <c r="A94" s="41"/>
      <c r="B94" s="42"/>
      <c r="C94" s="42"/>
      <c r="D94" s="43"/>
      <c r="E94" s="42"/>
      <c r="F94" s="42"/>
      <c r="G94" s="42"/>
    </row>
    <row r="95" spans="1:7">
      <c r="A95" s="41"/>
      <c r="B95" s="42"/>
      <c r="C95" s="42"/>
      <c r="D95" s="43"/>
      <c r="E95" s="42"/>
      <c r="F95" s="41"/>
      <c r="G95" s="42"/>
    </row>
    <row r="96" spans="1:7">
      <c r="A96" s="42"/>
      <c r="B96" s="42"/>
      <c r="C96" s="42"/>
      <c r="D96" s="42"/>
      <c r="E96" s="42"/>
      <c r="F96" s="42"/>
      <c r="G96" s="42"/>
    </row>
    <row r="97" spans="1:7">
      <c r="A97" s="42"/>
      <c r="B97" s="42"/>
      <c r="C97" s="42"/>
      <c r="D97" s="42"/>
      <c r="E97" s="42"/>
      <c r="F97" s="42"/>
      <c r="G97" s="42"/>
    </row>
    <row r="98" spans="1:7">
      <c r="A98" s="42"/>
      <c r="B98" s="42"/>
      <c r="C98" s="42"/>
      <c r="D98" s="42"/>
      <c r="E98" s="42"/>
      <c r="F98" s="42"/>
      <c r="G98" s="42"/>
    </row>
    <row r="99" spans="1:7">
      <c r="A99" s="42"/>
      <c r="B99" s="42"/>
      <c r="C99" s="42"/>
      <c r="D99" s="42"/>
      <c r="E99" s="42"/>
      <c r="F99" s="41"/>
      <c r="G99" s="42"/>
    </row>
    <row r="100" spans="1:7">
      <c r="A100" s="41"/>
      <c r="B100" s="42"/>
      <c r="C100" s="42"/>
      <c r="D100" s="43"/>
      <c r="E100" s="42"/>
      <c r="F100" s="41"/>
      <c r="G100" s="42"/>
    </row>
    <row r="101" spans="1:7">
      <c r="A101" s="44"/>
      <c r="B101" s="42"/>
      <c r="C101" s="42"/>
      <c r="D101" s="44"/>
      <c r="E101" s="42"/>
      <c r="F101" s="44"/>
      <c r="G101" s="42"/>
    </row>
    <row r="102" spans="1:7">
      <c r="A102" s="42"/>
      <c r="B102" s="42"/>
      <c r="C102" s="42"/>
      <c r="D102" s="42"/>
      <c r="E102" s="42"/>
      <c r="F102" s="43"/>
      <c r="G102" s="42"/>
    </row>
    <row r="103" spans="1:7">
      <c r="A103" s="41"/>
      <c r="B103" s="42"/>
      <c r="C103" s="42"/>
      <c r="D103" s="43"/>
      <c r="E103" s="42"/>
      <c r="F103" s="43"/>
      <c r="G103" s="42"/>
    </row>
    <row r="104" spans="1:7">
      <c r="A104" s="41"/>
      <c r="B104" s="42"/>
      <c r="C104" s="42"/>
      <c r="D104" s="43"/>
      <c r="E104" s="42"/>
      <c r="F104" s="43"/>
      <c r="G104" s="42"/>
    </row>
    <row r="105" spans="1:7">
      <c r="A105" s="41"/>
      <c r="B105" s="42"/>
      <c r="C105" s="42"/>
      <c r="D105" s="43"/>
      <c r="E105" s="42"/>
      <c r="F105" s="43"/>
      <c r="G105" s="42"/>
    </row>
    <row r="106" spans="1:7">
      <c r="A106" s="42"/>
      <c r="B106" s="42"/>
      <c r="C106" s="42"/>
      <c r="D106" s="44"/>
      <c r="E106" s="42"/>
      <c r="F106" s="43"/>
      <c r="G106" s="42"/>
    </row>
    <row r="107" spans="1:7">
      <c r="A107" s="41"/>
      <c r="B107" s="42"/>
      <c r="C107" s="42"/>
      <c r="D107" s="43"/>
      <c r="E107" s="42"/>
      <c r="F107" s="43"/>
      <c r="G107" s="42"/>
    </row>
    <row r="108" spans="1:7">
      <c r="A108" s="42"/>
      <c r="B108" s="42"/>
      <c r="C108" s="42"/>
      <c r="D108" s="42"/>
      <c r="E108" s="42"/>
      <c r="F108" s="42"/>
      <c r="G108" s="42"/>
    </row>
    <row r="109" spans="1:7">
      <c r="A109" s="41"/>
      <c r="B109" s="42"/>
      <c r="C109" s="42"/>
      <c r="D109" s="43"/>
      <c r="E109" s="42"/>
      <c r="F109" s="41"/>
      <c r="G109" s="42"/>
    </row>
    <row r="110" spans="1:7">
      <c r="A110" s="41"/>
      <c r="B110" s="42"/>
      <c r="C110" s="42"/>
      <c r="D110" s="43"/>
      <c r="E110" s="42"/>
      <c r="F110" s="41"/>
      <c r="G110" s="42"/>
    </row>
    <row r="111" spans="1:7">
      <c r="A111" s="42"/>
      <c r="B111" s="42"/>
      <c r="C111" s="42"/>
      <c r="D111" s="42"/>
      <c r="E111" s="42"/>
      <c r="F111" s="41"/>
      <c r="G111" s="42"/>
    </row>
    <row r="112" spans="1:7">
      <c r="A112" s="41"/>
      <c r="B112" s="42"/>
      <c r="C112" s="42"/>
      <c r="D112" s="43"/>
      <c r="E112" s="42"/>
      <c r="F112" s="42"/>
      <c r="G112" s="42"/>
    </row>
    <row r="113" spans="1:7">
      <c r="A113" s="41"/>
      <c r="B113" s="42"/>
      <c r="C113" s="42"/>
      <c r="D113" s="43"/>
      <c r="E113" s="42"/>
      <c r="F113" s="41"/>
      <c r="G113" s="42"/>
    </row>
    <row r="114" spans="1:7">
      <c r="A114" s="42"/>
      <c r="B114" s="42"/>
      <c r="C114" s="42"/>
      <c r="D114" s="42"/>
      <c r="E114" s="42"/>
      <c r="F114" s="42"/>
      <c r="G114" s="42"/>
    </row>
    <row r="115" spans="1:7">
      <c r="A115" s="42"/>
      <c r="B115" s="42"/>
      <c r="C115" s="42"/>
      <c r="D115" s="42"/>
      <c r="E115" s="42"/>
      <c r="F115" s="42"/>
      <c r="G115" s="42"/>
    </row>
    <row r="116" spans="1:7">
      <c r="A116" s="42"/>
      <c r="B116" s="42"/>
      <c r="C116" s="42"/>
      <c r="D116" s="42"/>
      <c r="E116" s="42"/>
      <c r="F116" s="41"/>
      <c r="G116" s="42"/>
    </row>
    <row r="117" spans="1:7">
      <c r="A117" s="41"/>
      <c r="B117" s="42"/>
      <c r="C117" s="42"/>
      <c r="D117" s="43"/>
      <c r="E117" s="42"/>
      <c r="F117" s="41"/>
      <c r="G117" s="42"/>
    </row>
    <row r="118" spans="1:7">
      <c r="A118" s="44"/>
      <c r="B118" s="42"/>
      <c r="C118" s="42"/>
      <c r="D118" s="44"/>
      <c r="E118" s="42"/>
      <c r="F118" s="44"/>
      <c r="G118" s="42"/>
    </row>
    <row r="119" spans="1:7">
      <c r="A119" s="42"/>
      <c r="B119" s="42"/>
      <c r="C119" s="42"/>
      <c r="D119" s="42"/>
      <c r="E119" s="42"/>
      <c r="F119" s="43"/>
      <c r="G119" s="42"/>
    </row>
    <row r="120" spans="1:7">
      <c r="A120" s="41"/>
      <c r="B120" s="42"/>
      <c r="C120" s="42"/>
      <c r="D120" s="43"/>
      <c r="E120" s="42"/>
      <c r="F120" s="43"/>
      <c r="G120" s="42"/>
    </row>
    <row r="121" spans="1:7">
      <c r="A121" s="41"/>
      <c r="B121" s="42"/>
      <c r="C121" s="42"/>
      <c r="D121" s="43"/>
      <c r="E121" s="42"/>
      <c r="F121" s="43"/>
      <c r="G121" s="42"/>
    </row>
    <row r="122" spans="1:7">
      <c r="A122" s="41"/>
      <c r="B122" s="42"/>
      <c r="C122" s="42"/>
      <c r="D122" s="43"/>
      <c r="E122" s="42"/>
      <c r="F122" s="43"/>
      <c r="G122" s="42"/>
    </row>
    <row r="123" spans="1:7">
      <c r="A123" s="42"/>
      <c r="B123" s="42"/>
      <c r="C123" s="42"/>
      <c r="D123" s="44"/>
      <c r="E123" s="42"/>
      <c r="F123" s="43"/>
      <c r="G123" s="42"/>
    </row>
    <row r="124" spans="1:7">
      <c r="A124" s="41"/>
      <c r="B124" s="42"/>
      <c r="C124" s="42"/>
      <c r="D124" s="43"/>
      <c r="E124" s="42"/>
      <c r="F124" s="43"/>
      <c r="G124" s="42"/>
    </row>
    <row r="125" spans="1:7">
      <c r="A125" s="42"/>
      <c r="B125" s="42"/>
      <c r="C125" s="42"/>
      <c r="D125" s="42"/>
      <c r="E125" s="42"/>
      <c r="F125" s="42"/>
      <c r="G125" s="42"/>
    </row>
    <row r="126" spans="1:7">
      <c r="A126" s="41"/>
      <c r="B126" s="42"/>
      <c r="C126" s="42"/>
      <c r="D126" s="43"/>
      <c r="E126" s="42"/>
      <c r="F126" s="42"/>
      <c r="G126" s="42"/>
    </row>
    <row r="127" spans="1:7">
      <c r="A127" s="41"/>
      <c r="B127" s="42"/>
      <c r="C127" s="42"/>
      <c r="D127" s="43"/>
      <c r="E127" s="42"/>
      <c r="F127" s="42"/>
      <c r="G127" s="42"/>
    </row>
    <row r="128" spans="1:7">
      <c r="A128" s="42"/>
      <c r="B128" s="42"/>
      <c r="C128" s="42"/>
      <c r="D128" s="42"/>
      <c r="E128" s="42"/>
      <c r="F128" s="42"/>
      <c r="G128" s="42"/>
    </row>
    <row r="129" spans="1:7">
      <c r="A129" s="41"/>
      <c r="B129" s="42"/>
      <c r="C129" s="42"/>
      <c r="D129" s="43"/>
      <c r="E129" s="42"/>
      <c r="F129" s="42"/>
      <c r="G129" s="42"/>
    </row>
    <row r="130" spans="1:7">
      <c r="A130" s="41"/>
      <c r="B130" s="42"/>
      <c r="C130" s="42"/>
      <c r="D130" s="43"/>
      <c r="E130" s="42"/>
      <c r="F130" s="42"/>
      <c r="G130" s="42"/>
    </row>
    <row r="131" spans="1:7">
      <c r="A131" s="41"/>
      <c r="B131" s="42"/>
      <c r="C131" s="42"/>
      <c r="D131" s="42"/>
      <c r="E131" s="42"/>
      <c r="F131" s="42"/>
      <c r="G131" s="42"/>
    </row>
    <row r="132" spans="1:7">
      <c r="A132" s="42"/>
      <c r="B132" s="42"/>
      <c r="C132" s="42"/>
      <c r="D132" s="42"/>
      <c r="E132" s="42"/>
      <c r="F132" s="42"/>
      <c r="G132" s="42"/>
    </row>
  </sheetData>
  <sheetProtection password="C688" sheet="1" objects="1" scenarios="1" selectLockedCells="1" selectUnlockedCells="1"/>
  <mergeCells count="2">
    <mergeCell ref="A1:H1"/>
    <mergeCell ref="A2:H2"/>
  </mergeCells>
  <pageMargins left="0.75" right="0.75" top="0.37" bottom="0.55000000000000004" header="0.33" footer="0.5"/>
  <pageSetup scale="10" orientation="portrait" horizontalDpi="300" verticalDpi="300" r:id="rId1"/>
  <headerFooter alignWithMargins="0">
    <oddFooter>&amp;L&amp;5&amp;D &amp;T rg Z:\Benefits\benefits model\FY07\FY07 fall final.xls  tab:  &amp;A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3"/>
  <sheetViews>
    <sheetView zoomScale="75" workbookViewId="0">
      <selection sqref="A1:H1"/>
    </sheetView>
  </sheetViews>
  <sheetFormatPr defaultColWidth="9.28515625" defaultRowHeight="15"/>
  <cols>
    <col min="1" max="1" width="4.140625" style="345" customWidth="1"/>
    <col min="2" max="2" width="12" style="345" customWidth="1"/>
    <col min="3" max="3" width="0" style="345" hidden="1" customWidth="1"/>
    <col min="4" max="4" width="20" style="345" customWidth="1"/>
    <col min="5" max="5" width="3.5703125" style="345" customWidth="1"/>
    <col min="6" max="6" width="0" style="345" hidden="1" customWidth="1"/>
    <col min="7" max="7" width="13.140625" style="345" customWidth="1"/>
    <col min="8" max="12" width="11.42578125" style="345" customWidth="1"/>
    <col min="13" max="13" width="13.28515625" style="345" customWidth="1"/>
    <col min="14" max="16384" width="9.28515625" style="38"/>
  </cols>
  <sheetData>
    <row r="1" spans="1:13" s="535" customFormat="1" ht="15.75">
      <c r="A1" s="531"/>
      <c r="B1" s="532" t="s">
        <v>369</v>
      </c>
      <c r="C1" s="533"/>
      <c r="D1" s="530"/>
      <c r="E1" s="530"/>
      <c r="F1" s="530"/>
      <c r="G1" s="530"/>
      <c r="H1" s="533"/>
      <c r="I1" s="533"/>
      <c r="J1" s="530"/>
      <c r="K1" s="530"/>
      <c r="L1" s="530"/>
      <c r="M1" s="534"/>
    </row>
    <row r="2" spans="1:13">
      <c r="A2" s="283"/>
      <c r="B2" s="284" t="s">
        <v>370</v>
      </c>
      <c r="C2" s="285"/>
      <c r="D2" s="285"/>
      <c r="E2" s="285"/>
      <c r="F2" s="285"/>
      <c r="G2" s="285"/>
      <c r="H2" s="282"/>
      <c r="I2" s="282"/>
      <c r="J2" s="285"/>
      <c r="K2" s="285"/>
      <c r="L2" s="285"/>
      <c r="M2" s="285"/>
    </row>
    <row r="3" spans="1:13" ht="12.75">
      <c r="A3" s="283"/>
      <c r="B3" s="283"/>
      <c r="C3" s="283"/>
      <c r="D3" s="283"/>
      <c r="E3" s="283"/>
      <c r="F3" s="283"/>
      <c r="G3" s="283"/>
      <c r="H3" s="283"/>
      <c r="I3" s="283"/>
      <c r="J3" s="283"/>
      <c r="K3" s="283"/>
      <c r="L3" s="283"/>
      <c r="M3" s="283"/>
    </row>
    <row r="4" spans="1:13" ht="12.75">
      <c r="A4" s="286"/>
      <c r="B4" s="287" t="s">
        <v>371</v>
      </c>
      <c r="C4" s="288"/>
      <c r="D4" s="289"/>
      <c r="E4" s="288"/>
      <c r="F4" s="288"/>
      <c r="G4" s="288"/>
      <c r="H4" s="290"/>
      <c r="I4" s="290"/>
      <c r="J4" s="290"/>
      <c r="K4" s="291"/>
      <c r="L4" s="292" t="s">
        <v>372</v>
      </c>
      <c r="M4" s="293" t="s">
        <v>373</v>
      </c>
    </row>
    <row r="5" spans="1:13">
      <c r="A5" s="286"/>
      <c r="B5" s="294" t="s">
        <v>374</v>
      </c>
      <c r="C5" s="295"/>
      <c r="D5" s="296" t="s">
        <v>375</v>
      </c>
      <c r="E5" s="297" t="s">
        <v>108</v>
      </c>
      <c r="F5" s="298"/>
      <c r="G5" s="299"/>
      <c r="H5" s="300" t="s">
        <v>376</v>
      </c>
      <c r="I5" s="300" t="s">
        <v>105</v>
      </c>
      <c r="J5" s="300" t="s">
        <v>160</v>
      </c>
      <c r="K5" s="300" t="s">
        <v>377</v>
      </c>
      <c r="L5" s="300" t="s">
        <v>378</v>
      </c>
      <c r="M5" s="301" t="s">
        <v>378</v>
      </c>
    </row>
    <row r="6" spans="1:13" ht="12.75">
      <c r="A6" s="302"/>
      <c r="B6" s="303"/>
      <c r="C6" s="283"/>
      <c r="D6" s="304"/>
      <c r="E6" s="283"/>
      <c r="F6" s="283"/>
      <c r="G6" s="283"/>
      <c r="H6" s="305"/>
      <c r="I6" s="305"/>
      <c r="J6" s="305"/>
      <c r="K6" s="306"/>
      <c r="L6" s="306"/>
      <c r="M6" s="307"/>
    </row>
    <row r="7" spans="1:13" ht="15.75">
      <c r="A7" s="308" t="s">
        <v>379</v>
      </c>
      <c r="B7" s="309" t="s">
        <v>380</v>
      </c>
      <c r="C7" s="283"/>
      <c r="D7" s="310" t="s">
        <v>381</v>
      </c>
      <c r="E7" s="311" t="s">
        <v>382</v>
      </c>
      <c r="F7" s="283"/>
      <c r="G7" s="283"/>
      <c r="H7" s="312" t="s">
        <v>25</v>
      </c>
      <c r="I7" s="312" t="s">
        <v>25</v>
      </c>
      <c r="J7" s="312" t="s">
        <v>25</v>
      </c>
      <c r="K7" s="306"/>
      <c r="L7" s="306"/>
      <c r="M7" s="313" t="s">
        <v>25</v>
      </c>
    </row>
    <row r="8" spans="1:13" ht="15.75">
      <c r="A8" s="308" t="s">
        <v>383</v>
      </c>
      <c r="B8" s="314" t="s">
        <v>384</v>
      </c>
      <c r="C8" s="315"/>
      <c r="D8" s="316" t="s">
        <v>385</v>
      </c>
      <c r="E8" s="317" t="s">
        <v>386</v>
      </c>
      <c r="F8" s="315"/>
      <c r="G8" s="315"/>
      <c r="H8" s="318" t="s">
        <v>25</v>
      </c>
      <c r="I8" s="318" t="s">
        <v>25</v>
      </c>
      <c r="J8" s="318" t="s">
        <v>25</v>
      </c>
      <c r="K8" s="319"/>
      <c r="L8" s="319"/>
      <c r="M8" s="320"/>
    </row>
    <row r="9" spans="1:13" ht="15.75">
      <c r="A9" s="308" t="s">
        <v>383</v>
      </c>
      <c r="B9" s="321" t="s">
        <v>387</v>
      </c>
      <c r="C9" s="322"/>
      <c r="D9" s="323" t="s">
        <v>388</v>
      </c>
      <c r="E9" s="324" t="s">
        <v>389</v>
      </c>
      <c r="F9" s="322"/>
      <c r="G9" s="322"/>
      <c r="H9" s="325" t="s">
        <v>25</v>
      </c>
      <c r="I9" s="325" t="s">
        <v>25</v>
      </c>
      <c r="J9" s="325" t="s">
        <v>25</v>
      </c>
      <c r="K9" s="326"/>
      <c r="L9" s="326"/>
      <c r="M9" s="327"/>
    </row>
    <row r="10" spans="1:13" ht="15.75">
      <c r="A10" s="308" t="s">
        <v>383</v>
      </c>
      <c r="B10" s="314" t="s">
        <v>390</v>
      </c>
      <c r="C10" s="315"/>
      <c r="D10" s="316" t="s">
        <v>391</v>
      </c>
      <c r="E10" s="317" t="s">
        <v>392</v>
      </c>
      <c r="F10" s="315"/>
      <c r="G10" s="315"/>
      <c r="H10" s="318" t="s">
        <v>25</v>
      </c>
      <c r="I10" s="318" t="s">
        <v>25</v>
      </c>
      <c r="J10" s="318" t="s">
        <v>25</v>
      </c>
      <c r="K10" s="319"/>
      <c r="L10" s="319"/>
      <c r="M10" s="320"/>
    </row>
    <row r="11" spans="1:13" ht="15.75">
      <c r="A11" s="308">
        <v>3</v>
      </c>
      <c r="B11" s="321" t="s">
        <v>393</v>
      </c>
      <c r="C11" s="322"/>
      <c r="D11" s="323" t="s">
        <v>394</v>
      </c>
      <c r="E11" s="324" t="s">
        <v>395</v>
      </c>
      <c r="F11" s="322"/>
      <c r="G11" s="322"/>
      <c r="H11" s="325" t="s">
        <v>25</v>
      </c>
      <c r="I11" s="325" t="s">
        <v>25</v>
      </c>
      <c r="J11" s="325" t="s">
        <v>25</v>
      </c>
      <c r="K11" s="326"/>
      <c r="L11" s="326"/>
      <c r="M11" s="327"/>
    </row>
    <row r="12" spans="1:13" ht="15.75">
      <c r="A12" s="308">
        <v>3</v>
      </c>
      <c r="B12" s="314" t="s">
        <v>396</v>
      </c>
      <c r="C12" s="315"/>
      <c r="D12" s="316" t="s">
        <v>397</v>
      </c>
      <c r="E12" s="317" t="s">
        <v>398</v>
      </c>
      <c r="F12" s="315"/>
      <c r="G12" s="315"/>
      <c r="H12" s="318" t="s">
        <v>25</v>
      </c>
      <c r="I12" s="318" t="s">
        <v>25</v>
      </c>
      <c r="J12" s="318" t="s">
        <v>25</v>
      </c>
      <c r="K12" s="319"/>
      <c r="L12" s="319"/>
      <c r="M12" s="320"/>
    </row>
    <row r="13" spans="1:13" ht="15.75">
      <c r="A13" s="308">
        <v>3</v>
      </c>
      <c r="B13" s="321" t="s">
        <v>399</v>
      </c>
      <c r="C13" s="322"/>
      <c r="D13" s="323" t="s">
        <v>400</v>
      </c>
      <c r="E13" s="328" t="s">
        <v>398</v>
      </c>
      <c r="F13" s="322"/>
      <c r="G13" s="322"/>
      <c r="H13" s="325" t="s">
        <v>25</v>
      </c>
      <c r="I13" s="325" t="s">
        <v>25</v>
      </c>
      <c r="J13" s="325" t="s">
        <v>25</v>
      </c>
      <c r="K13" s="326"/>
      <c r="L13" s="326"/>
      <c r="M13" s="327"/>
    </row>
    <row r="14" spans="1:13" ht="15.75">
      <c r="A14" s="308">
        <v>4</v>
      </c>
      <c r="B14" s="314" t="s">
        <v>401</v>
      </c>
      <c r="C14" s="315"/>
      <c r="D14" s="316" t="s">
        <v>402</v>
      </c>
      <c r="E14" s="317" t="s">
        <v>403</v>
      </c>
      <c r="F14" s="315"/>
      <c r="G14" s="315"/>
      <c r="H14" s="318" t="s">
        <v>25</v>
      </c>
      <c r="I14" s="318" t="s">
        <v>25</v>
      </c>
      <c r="J14" s="318" t="s">
        <v>25</v>
      </c>
      <c r="K14" s="319" t="s">
        <v>25</v>
      </c>
      <c r="L14" s="319" t="s">
        <v>25</v>
      </c>
      <c r="M14" s="320" t="s">
        <v>25</v>
      </c>
    </row>
    <row r="15" spans="1:13" ht="15.75">
      <c r="A15" s="308">
        <v>5</v>
      </c>
      <c r="B15" s="321" t="s">
        <v>404</v>
      </c>
      <c r="C15" s="322"/>
      <c r="D15" s="323" t="s">
        <v>405</v>
      </c>
      <c r="E15" s="324" t="s">
        <v>406</v>
      </c>
      <c r="F15" s="322"/>
      <c r="G15" s="322"/>
      <c r="H15" s="325" t="s">
        <v>25</v>
      </c>
      <c r="I15" s="325" t="s">
        <v>25</v>
      </c>
      <c r="J15" s="325" t="s">
        <v>25</v>
      </c>
      <c r="K15" s="326"/>
      <c r="L15" s="326"/>
      <c r="M15" s="327"/>
    </row>
    <row r="16" spans="1:13" ht="15.75">
      <c r="A16" s="308">
        <v>5</v>
      </c>
      <c r="B16" s="314" t="s">
        <v>407</v>
      </c>
      <c r="C16" s="315"/>
      <c r="D16" s="316" t="s">
        <v>408</v>
      </c>
      <c r="E16" s="317" t="s">
        <v>409</v>
      </c>
      <c r="F16" s="315"/>
      <c r="G16" s="315"/>
      <c r="H16" s="318" t="s">
        <v>25</v>
      </c>
      <c r="I16" s="318" t="s">
        <v>25</v>
      </c>
      <c r="J16" s="318" t="s">
        <v>25</v>
      </c>
      <c r="K16" s="319"/>
      <c r="L16" s="319"/>
      <c r="M16" s="320"/>
    </row>
    <row r="17" spans="1:13" ht="16.149999999999999" customHeight="1">
      <c r="A17" s="329">
        <v>10</v>
      </c>
      <c r="B17" s="321" t="s">
        <v>410</v>
      </c>
      <c r="C17" s="322"/>
      <c r="D17" s="323" t="s">
        <v>411</v>
      </c>
      <c r="E17" s="324" t="s">
        <v>412</v>
      </c>
      <c r="F17" s="322"/>
      <c r="G17" s="322"/>
      <c r="H17" s="325" t="s">
        <v>25</v>
      </c>
      <c r="I17" s="325" t="s">
        <v>25</v>
      </c>
      <c r="J17" s="325" t="s">
        <v>25</v>
      </c>
      <c r="K17" s="326"/>
      <c r="L17" s="326"/>
      <c r="M17" s="327" t="s">
        <v>25</v>
      </c>
    </row>
    <row r="18" spans="1:13" ht="15.75">
      <c r="A18" s="329"/>
      <c r="B18" s="314" t="s">
        <v>413</v>
      </c>
      <c r="C18" s="315"/>
      <c r="D18" s="316" t="s">
        <v>414</v>
      </c>
      <c r="E18" s="317" t="s">
        <v>415</v>
      </c>
      <c r="F18" s="315"/>
      <c r="G18" s="315"/>
      <c r="H18" s="318" t="s">
        <v>25</v>
      </c>
      <c r="I18" s="318"/>
      <c r="J18" s="318"/>
      <c r="K18" s="319"/>
      <c r="L18" s="319"/>
      <c r="M18" s="320"/>
    </row>
    <row r="19" spans="1:13" ht="16.149999999999999" customHeight="1">
      <c r="A19" s="329">
        <v>6</v>
      </c>
      <c r="B19" s="321" t="s">
        <v>416</v>
      </c>
      <c r="C19" s="322"/>
      <c r="D19" s="323" t="s">
        <v>394</v>
      </c>
      <c r="E19" s="324" t="s">
        <v>398</v>
      </c>
      <c r="F19" s="322"/>
      <c r="G19" s="322"/>
      <c r="H19" s="325"/>
      <c r="I19" s="325"/>
      <c r="J19" s="325"/>
      <c r="K19" s="326"/>
      <c r="L19" s="326"/>
      <c r="M19" s="327" t="s">
        <v>25</v>
      </c>
    </row>
    <row r="20" spans="1:13" ht="15.75">
      <c r="A20" s="329">
        <v>6</v>
      </c>
      <c r="B20" s="314" t="s">
        <v>417</v>
      </c>
      <c r="C20" s="315"/>
      <c r="D20" s="316" t="s">
        <v>397</v>
      </c>
      <c r="E20" s="317" t="s">
        <v>395</v>
      </c>
      <c r="F20" s="315"/>
      <c r="G20" s="315"/>
      <c r="H20" s="318"/>
      <c r="I20" s="318"/>
      <c r="J20" s="318"/>
      <c r="K20" s="319"/>
      <c r="L20" s="319"/>
      <c r="M20" s="320" t="s">
        <v>25</v>
      </c>
    </row>
    <row r="21" spans="1:13" ht="15.75">
      <c r="A21" s="308" t="s">
        <v>418</v>
      </c>
      <c r="B21" s="321" t="s">
        <v>419</v>
      </c>
      <c r="C21" s="322"/>
      <c r="D21" s="323" t="s">
        <v>420</v>
      </c>
      <c r="E21" s="324" t="s">
        <v>421</v>
      </c>
      <c r="F21" s="322"/>
      <c r="G21" s="322"/>
      <c r="H21" s="325" t="s">
        <v>25</v>
      </c>
      <c r="I21" s="325" t="s">
        <v>25</v>
      </c>
      <c r="J21" s="325" t="s">
        <v>25</v>
      </c>
      <c r="K21" s="326"/>
      <c r="L21" s="326"/>
      <c r="M21" s="327" t="s">
        <v>25</v>
      </c>
    </row>
    <row r="22" spans="1:13" ht="15.75">
      <c r="A22" s="308" t="s">
        <v>422</v>
      </c>
      <c r="B22" s="314" t="s">
        <v>423</v>
      </c>
      <c r="C22" s="315"/>
      <c r="D22" s="316" t="s">
        <v>424</v>
      </c>
      <c r="E22" s="317" t="s">
        <v>425</v>
      </c>
      <c r="F22" s="315"/>
      <c r="G22" s="315"/>
      <c r="H22" s="318" t="s">
        <v>25</v>
      </c>
      <c r="I22" s="318" t="s">
        <v>25</v>
      </c>
      <c r="J22" s="318" t="s">
        <v>25</v>
      </c>
      <c r="K22" s="319"/>
      <c r="L22" s="319"/>
      <c r="M22" s="320"/>
    </row>
    <row r="23" spans="1:13" ht="25.5" hidden="1">
      <c r="A23" s="308" t="s">
        <v>422</v>
      </c>
      <c r="B23" s="321" t="s">
        <v>423</v>
      </c>
      <c r="C23" s="322"/>
      <c r="D23" s="330" t="s">
        <v>426</v>
      </c>
      <c r="E23" s="324" t="s">
        <v>427</v>
      </c>
      <c r="F23" s="322"/>
      <c r="G23" s="322"/>
      <c r="H23" s="325" t="s">
        <v>25</v>
      </c>
      <c r="I23" s="325"/>
      <c r="J23" s="325"/>
      <c r="K23" s="326"/>
      <c r="L23" s="326"/>
      <c r="M23" s="327"/>
    </row>
    <row r="24" spans="1:13" ht="15.75">
      <c r="A24" s="308"/>
      <c r="B24" s="321" t="s">
        <v>428</v>
      </c>
      <c r="C24" s="331"/>
      <c r="D24" s="332" t="s">
        <v>429</v>
      </c>
      <c r="E24" s="333" t="s">
        <v>430</v>
      </c>
      <c r="F24" s="331"/>
      <c r="G24" s="331"/>
      <c r="H24" s="334"/>
      <c r="I24" s="334"/>
      <c r="J24" s="334"/>
      <c r="K24" s="335" t="s">
        <v>25</v>
      </c>
      <c r="L24" s="335"/>
      <c r="M24" s="336"/>
    </row>
    <row r="25" spans="1:13" ht="15.75">
      <c r="A25" s="308">
        <v>9</v>
      </c>
      <c r="B25" s="337" t="s">
        <v>431</v>
      </c>
      <c r="C25" s="338"/>
      <c r="D25" s="339" t="s">
        <v>424</v>
      </c>
      <c r="E25" s="340" t="s">
        <v>427</v>
      </c>
      <c r="F25" s="338"/>
      <c r="G25" s="338"/>
      <c r="H25" s="341"/>
      <c r="I25" s="341"/>
      <c r="J25" s="341"/>
      <c r="K25" s="342"/>
      <c r="L25" s="342"/>
      <c r="M25" s="343" t="s">
        <v>25</v>
      </c>
    </row>
    <row r="26" spans="1:13">
      <c r="A26" s="344"/>
    </row>
    <row r="27" spans="1:13" ht="15.75">
      <c r="A27" s="346"/>
      <c r="B27" s="347"/>
      <c r="C27" s="283"/>
      <c r="D27" s="283"/>
      <c r="E27" s="348" t="s">
        <v>432</v>
      </c>
      <c r="F27" s="349"/>
      <c r="G27" s="350"/>
      <c r="H27" s="350"/>
      <c r="I27" s="350"/>
      <c r="J27" s="350"/>
      <c r="K27" s="351"/>
      <c r="L27" s="283"/>
      <c r="M27" s="283"/>
    </row>
    <row r="28" spans="1:13" ht="15.75">
      <c r="A28" s="346"/>
      <c r="B28" s="347"/>
      <c r="C28" s="347"/>
      <c r="D28" s="347"/>
      <c r="E28" s="352"/>
      <c r="F28" s="353"/>
      <c r="G28" s="354"/>
      <c r="H28" s="355"/>
      <c r="I28" s="356"/>
      <c r="J28" s="354"/>
      <c r="K28" s="357" t="s">
        <v>433</v>
      </c>
      <c r="L28" s="283"/>
      <c r="M28" s="283"/>
    </row>
    <row r="29" spans="1:13" ht="15.75">
      <c r="A29" s="346"/>
      <c r="B29" s="347"/>
      <c r="C29" s="347"/>
      <c r="D29" s="347"/>
      <c r="E29" s="358" t="s">
        <v>434</v>
      </c>
      <c r="F29" s="359"/>
      <c r="G29" s="360"/>
      <c r="H29" s="361" t="s">
        <v>435</v>
      </c>
      <c r="I29" s="356"/>
      <c r="J29" s="354"/>
      <c r="K29" s="362" t="s">
        <v>436</v>
      </c>
      <c r="L29" s="283"/>
      <c r="M29" s="283"/>
    </row>
    <row r="30" spans="1:13" ht="15.75">
      <c r="A30" s="346"/>
      <c r="B30" s="347"/>
      <c r="C30" s="347"/>
      <c r="D30" s="347"/>
      <c r="E30" s="363" t="s">
        <v>437</v>
      </c>
      <c r="F30" s="353"/>
      <c r="G30" s="354"/>
      <c r="H30" s="355" t="s">
        <v>438</v>
      </c>
      <c r="I30" s="356"/>
      <c r="J30" s="354"/>
      <c r="K30" s="364">
        <v>5.4111358865127981E-2</v>
      </c>
      <c r="L30" s="283"/>
      <c r="M30" s="283"/>
    </row>
    <row r="31" spans="1:13" ht="15.75">
      <c r="A31" s="346"/>
      <c r="B31" s="347"/>
      <c r="C31" s="347"/>
      <c r="D31" s="347"/>
      <c r="E31" s="365" t="s">
        <v>439</v>
      </c>
      <c r="F31" s="353"/>
      <c r="G31" s="354"/>
      <c r="H31" s="355" t="s">
        <v>440</v>
      </c>
      <c r="I31" s="356"/>
      <c r="J31" s="354"/>
      <c r="K31" s="364">
        <v>7.3425363095577026E-2</v>
      </c>
      <c r="L31" s="283"/>
      <c r="M31" s="283"/>
    </row>
    <row r="32" spans="1:13" ht="15.75">
      <c r="A32" s="346"/>
      <c r="B32" s="347"/>
      <c r="C32" s="347"/>
      <c r="D32" s="347"/>
      <c r="E32" s="366" t="s">
        <v>105</v>
      </c>
      <c r="F32" s="367"/>
      <c r="G32" s="368"/>
      <c r="H32" s="369" t="s">
        <v>440</v>
      </c>
      <c r="I32" s="370"/>
      <c r="J32" s="368"/>
      <c r="K32" s="371">
        <v>8.038660562087542E-2</v>
      </c>
      <c r="L32" s="283"/>
      <c r="M32" s="283"/>
    </row>
    <row r="33" spans="1:13" ht="15.75">
      <c r="A33" s="372"/>
      <c r="B33" s="373"/>
      <c r="C33" s="374"/>
      <c r="D33" s="374"/>
      <c r="E33" s="374"/>
      <c r="F33" s="374"/>
      <c r="G33" s="374"/>
      <c r="H33" s="374"/>
      <c r="I33" s="374"/>
      <c r="J33" s="374"/>
      <c r="K33" s="374"/>
      <c r="L33" s="374"/>
      <c r="M33" s="374"/>
    </row>
    <row r="34" spans="1:13" ht="12.75">
      <c r="A34" s="283" t="s">
        <v>441</v>
      </c>
      <c r="B34" s="283"/>
      <c r="C34" s="283"/>
      <c r="D34" s="283"/>
      <c r="E34" s="283"/>
      <c r="F34" s="283"/>
      <c r="G34" s="283"/>
      <c r="H34" s="283"/>
      <c r="I34" s="283"/>
      <c r="J34" s="283"/>
      <c r="K34" s="283"/>
      <c r="L34" s="283"/>
      <c r="M34" s="283"/>
    </row>
    <row r="35" spans="1:13" ht="15.75">
      <c r="A35" s="329">
        <v>1</v>
      </c>
      <c r="B35" s="375" t="s">
        <v>242</v>
      </c>
      <c r="C35" s="283"/>
      <c r="D35" s="283"/>
      <c r="E35" s="283"/>
      <c r="F35" s="283"/>
      <c r="G35" s="283"/>
      <c r="H35" s="283"/>
      <c r="I35" s="283"/>
      <c r="J35" s="283"/>
      <c r="K35" s="283"/>
      <c r="L35" s="283"/>
      <c r="M35" s="283"/>
    </row>
    <row r="36" spans="1:13" ht="15.75">
      <c r="A36" s="329">
        <v>2</v>
      </c>
      <c r="B36" s="311" t="s">
        <v>442</v>
      </c>
      <c r="C36" s="376"/>
      <c r="D36" s="376"/>
      <c r="E36" s="376"/>
      <c r="F36" s="376"/>
      <c r="G36" s="376"/>
      <c r="H36" s="376"/>
      <c r="I36" s="376"/>
      <c r="J36" s="376"/>
      <c r="K36" s="376"/>
      <c r="L36" s="376"/>
      <c r="M36" s="376"/>
    </row>
    <row r="37" spans="1:13" ht="15.75">
      <c r="A37" s="346"/>
      <c r="B37" s="311" t="s">
        <v>443</v>
      </c>
      <c r="C37" s="376"/>
      <c r="D37" s="376"/>
      <c r="E37" s="376"/>
      <c r="F37" s="376"/>
      <c r="G37" s="376"/>
      <c r="H37" s="376"/>
      <c r="I37" s="376"/>
      <c r="J37" s="376"/>
      <c r="K37" s="376"/>
      <c r="L37" s="376"/>
      <c r="M37" s="376"/>
    </row>
    <row r="38" spans="1:13" ht="15.75">
      <c r="A38" s="346"/>
      <c r="B38" s="311" t="s">
        <v>444</v>
      </c>
      <c r="C38" s="376"/>
      <c r="D38" s="376"/>
      <c r="E38" s="376"/>
      <c r="F38" s="376"/>
      <c r="G38" s="376"/>
      <c r="H38" s="376"/>
      <c r="I38" s="376"/>
      <c r="J38" s="376"/>
      <c r="K38" s="376"/>
      <c r="L38" s="376"/>
      <c r="M38" s="376"/>
    </row>
    <row r="39" spans="1:13" ht="15.75">
      <c r="A39" s="346"/>
      <c r="B39" s="311" t="s">
        <v>445</v>
      </c>
      <c r="C39" s="376"/>
      <c r="D39" s="376"/>
      <c r="E39" s="376"/>
      <c r="F39" s="376"/>
      <c r="G39" s="376"/>
      <c r="H39" s="376"/>
      <c r="I39" s="376"/>
      <c r="J39" s="376"/>
      <c r="K39" s="376"/>
      <c r="L39" s="376"/>
      <c r="M39" s="376"/>
    </row>
    <row r="40" spans="1:13" ht="15.75">
      <c r="A40" s="329">
        <v>3</v>
      </c>
      <c r="B40" s="311" t="s">
        <v>446</v>
      </c>
      <c r="C40" s="377"/>
      <c r="D40" s="377"/>
      <c r="E40" s="377"/>
      <c r="F40" s="377"/>
      <c r="G40" s="377"/>
      <c r="H40" s="377"/>
      <c r="I40" s="377"/>
      <c r="J40" s="377"/>
      <c r="K40" s="377"/>
      <c r="L40" s="377"/>
      <c r="M40" s="377"/>
    </row>
    <row r="41" spans="1:13" ht="15.75">
      <c r="A41" s="329">
        <v>4</v>
      </c>
      <c r="B41" s="375" t="s">
        <v>447</v>
      </c>
      <c r="C41" s="377"/>
      <c r="D41" s="377"/>
      <c r="E41" s="377"/>
      <c r="F41" s="377"/>
      <c r="G41" s="377"/>
      <c r="H41" s="377"/>
      <c r="I41" s="377"/>
      <c r="J41" s="377"/>
      <c r="K41" s="377"/>
      <c r="L41" s="377"/>
      <c r="M41" s="377"/>
    </row>
    <row r="42" spans="1:13" ht="15.75">
      <c r="A42" s="346"/>
      <c r="B42" s="375" t="s">
        <v>448</v>
      </c>
      <c r="C42" s="377"/>
      <c r="D42" s="377"/>
      <c r="E42" s="377"/>
      <c r="F42" s="377"/>
      <c r="G42" s="377"/>
      <c r="H42" s="377"/>
      <c r="I42" s="377"/>
      <c r="J42" s="377"/>
      <c r="K42" s="377"/>
      <c r="L42" s="377"/>
      <c r="M42" s="377"/>
    </row>
    <row r="43" spans="1:13" ht="15.75">
      <c r="A43" s="346"/>
      <c r="B43" s="375" t="s">
        <v>449</v>
      </c>
      <c r="C43" s="377"/>
      <c r="D43" s="377"/>
      <c r="E43" s="377"/>
      <c r="F43" s="377"/>
      <c r="G43" s="377"/>
      <c r="H43" s="377"/>
      <c r="I43" s="377"/>
      <c r="J43" s="377"/>
      <c r="K43" s="377"/>
      <c r="L43" s="377"/>
      <c r="M43" s="377"/>
    </row>
    <row r="44" spans="1:13" ht="15.75">
      <c r="A44" s="346">
        <v>5</v>
      </c>
      <c r="B44" s="283" t="s">
        <v>450</v>
      </c>
      <c r="C44" s="377"/>
      <c r="D44" s="377"/>
      <c r="E44" s="377"/>
      <c r="F44" s="377"/>
      <c r="G44" s="377"/>
      <c r="H44" s="377"/>
      <c r="I44" s="377"/>
      <c r="J44" s="377"/>
      <c r="K44" s="377"/>
      <c r="L44" s="377"/>
      <c r="M44" s="377"/>
    </row>
    <row r="45" spans="1:13" ht="15.75">
      <c r="A45" s="346"/>
      <c r="B45" s="283" t="s">
        <v>451</v>
      </c>
      <c r="C45" s="377"/>
      <c r="D45" s="377"/>
      <c r="E45" s="377"/>
      <c r="F45" s="377"/>
      <c r="G45" s="377"/>
      <c r="H45" s="377"/>
      <c r="I45" s="377"/>
      <c r="J45" s="377"/>
      <c r="K45" s="377"/>
      <c r="L45" s="377"/>
      <c r="M45" s="377"/>
    </row>
    <row r="46" spans="1:13" ht="15.75">
      <c r="A46" s="329">
        <v>6</v>
      </c>
      <c r="B46" s="311" t="s">
        <v>452</v>
      </c>
      <c r="C46" s="377"/>
      <c r="D46" s="377"/>
      <c r="E46" s="377"/>
      <c r="F46" s="377"/>
      <c r="G46" s="377"/>
      <c r="H46" s="377"/>
      <c r="I46" s="377"/>
      <c r="J46" s="377"/>
      <c r="K46" s="377"/>
      <c r="L46" s="377"/>
      <c r="M46" s="377"/>
    </row>
    <row r="47" spans="1:13" ht="15.75">
      <c r="A47" s="346"/>
      <c r="B47" s="378" t="s">
        <v>453</v>
      </c>
      <c r="C47" s="377"/>
      <c r="D47" s="377"/>
      <c r="E47" s="377"/>
      <c r="F47" s="377"/>
      <c r="G47" s="377"/>
      <c r="H47" s="377"/>
      <c r="I47" s="377"/>
      <c r="J47" s="377"/>
      <c r="K47" s="377"/>
      <c r="L47" s="377"/>
      <c r="M47" s="377"/>
    </row>
    <row r="48" spans="1:13" ht="15.75">
      <c r="A48" s="346">
        <v>7</v>
      </c>
      <c r="B48" s="311" t="s">
        <v>454</v>
      </c>
      <c r="C48" s="377"/>
      <c r="D48" s="377"/>
      <c r="E48" s="377"/>
      <c r="F48" s="377"/>
      <c r="G48" s="377"/>
      <c r="H48" s="377"/>
      <c r="I48" s="377"/>
      <c r="J48" s="377"/>
      <c r="K48" s="377"/>
      <c r="L48" s="377"/>
      <c r="M48" s="377"/>
    </row>
    <row r="49" spans="1:13" ht="15.75">
      <c r="A49" s="346"/>
      <c r="B49" s="311" t="s">
        <v>455</v>
      </c>
      <c r="C49" s="377"/>
      <c r="D49" s="377"/>
      <c r="E49" s="377"/>
      <c r="F49" s="377"/>
      <c r="G49" s="377"/>
      <c r="H49" s="377"/>
      <c r="I49" s="377"/>
      <c r="J49" s="377"/>
      <c r="K49" s="377"/>
      <c r="L49" s="377"/>
      <c r="M49" s="377"/>
    </row>
    <row r="50" spans="1:13" ht="15.75">
      <c r="A50" s="329">
        <v>8</v>
      </c>
      <c r="B50" s="375" t="s">
        <v>456</v>
      </c>
      <c r="C50" s="377"/>
      <c r="D50" s="377"/>
      <c r="E50" s="377"/>
      <c r="F50" s="377"/>
      <c r="G50" s="377"/>
      <c r="H50" s="377"/>
      <c r="I50" s="377"/>
      <c r="J50" s="377"/>
      <c r="K50" s="377"/>
      <c r="L50" s="377"/>
      <c r="M50" s="377"/>
    </row>
    <row r="51" spans="1:13" ht="12.75">
      <c r="A51" s="283"/>
      <c r="B51" s="375" t="s">
        <v>457</v>
      </c>
      <c r="C51" s="377"/>
      <c r="D51" s="377"/>
      <c r="E51" s="377"/>
      <c r="F51" s="377"/>
      <c r="G51" s="377"/>
      <c r="H51" s="377"/>
      <c r="I51" s="377"/>
      <c r="J51" s="377"/>
      <c r="K51" s="377"/>
      <c r="L51" s="377"/>
      <c r="M51" s="377"/>
    </row>
    <row r="52" spans="1:13" ht="15.75">
      <c r="A52" s="346">
        <v>9</v>
      </c>
      <c r="B52" s="375" t="s">
        <v>458</v>
      </c>
      <c r="C52" s="377"/>
      <c r="D52" s="377"/>
      <c r="E52" s="377"/>
      <c r="F52" s="377"/>
      <c r="G52" s="377"/>
      <c r="H52" s="377"/>
      <c r="I52" s="377"/>
      <c r="J52" s="377"/>
      <c r="K52" s="377"/>
      <c r="L52" s="377"/>
      <c r="M52" s="377"/>
    </row>
    <row r="53" spans="1:13" ht="15.75">
      <c r="A53" s="346"/>
      <c r="B53" s="375" t="s">
        <v>459</v>
      </c>
      <c r="C53" s="377"/>
      <c r="D53" s="377"/>
      <c r="E53" s="377"/>
      <c r="F53" s="377"/>
      <c r="G53" s="377"/>
      <c r="H53" s="377"/>
      <c r="I53" s="377"/>
      <c r="J53" s="377"/>
      <c r="K53" s="377"/>
      <c r="L53" s="377"/>
      <c r="M53" s="377"/>
    </row>
    <row r="54" spans="1:13" ht="15.75">
      <c r="A54" s="346"/>
      <c r="B54" s="375" t="s">
        <v>460</v>
      </c>
      <c r="C54" s="377"/>
      <c r="D54" s="377"/>
      <c r="E54" s="377"/>
      <c r="F54" s="377"/>
      <c r="G54" s="377"/>
      <c r="H54" s="377"/>
      <c r="I54" s="377"/>
      <c r="J54" s="377"/>
      <c r="K54" s="377"/>
      <c r="L54" s="377"/>
      <c r="M54" s="377"/>
    </row>
    <row r="55" spans="1:13" ht="18" customHeight="1">
      <c r="A55" s="346">
        <v>10</v>
      </c>
      <c r="B55" s="311" t="s">
        <v>153</v>
      </c>
      <c r="C55" s="377"/>
      <c r="D55" s="377"/>
      <c r="E55" s="377"/>
      <c r="F55" s="377"/>
      <c r="G55" s="377"/>
      <c r="H55" s="377"/>
      <c r="I55" s="377"/>
      <c r="J55" s="377"/>
      <c r="K55" s="377"/>
      <c r="L55" s="377"/>
      <c r="M55" s="377"/>
    </row>
    <row r="56" spans="1:13" ht="18" customHeight="1">
      <c r="A56" s="346"/>
      <c r="B56" s="311" t="s">
        <v>154</v>
      </c>
      <c r="C56" s="377"/>
      <c r="D56" s="377"/>
      <c r="E56" s="377"/>
      <c r="F56" s="377"/>
      <c r="G56" s="377"/>
      <c r="H56" s="377"/>
      <c r="I56" s="377"/>
      <c r="J56" s="377"/>
      <c r="K56" s="377"/>
      <c r="L56" s="377"/>
      <c r="M56" s="377"/>
    </row>
    <row r="57" spans="1:13" ht="17.45" customHeight="1">
      <c r="A57" s="346"/>
      <c r="B57" s="311"/>
      <c r="C57" s="377"/>
      <c r="D57" s="377"/>
      <c r="E57" s="377"/>
      <c r="F57" s="377"/>
      <c r="G57" s="377"/>
      <c r="H57" s="377"/>
      <c r="I57" s="377"/>
      <c r="J57" s="377"/>
      <c r="K57" s="377"/>
      <c r="L57" s="377"/>
      <c r="M57" s="377"/>
    </row>
    <row r="58" spans="1:13" ht="15.6" customHeight="1">
      <c r="A58" s="379"/>
      <c r="B58" s="380"/>
      <c r="C58" s="377"/>
      <c r="D58" s="377"/>
      <c r="E58" s="377"/>
      <c r="F58" s="377"/>
      <c r="G58" s="377"/>
      <c r="H58" s="377"/>
      <c r="I58" s="377"/>
      <c r="J58" s="377"/>
      <c r="K58" s="377"/>
      <c r="L58" s="377"/>
      <c r="M58" s="377"/>
    </row>
    <row r="59" spans="1:13">
      <c r="A59" s="381"/>
      <c r="B59" s="281"/>
      <c r="C59" s="377"/>
      <c r="D59" s="377"/>
      <c r="E59" s="377"/>
      <c r="F59" s="377"/>
      <c r="G59" s="377"/>
      <c r="H59" s="377"/>
      <c r="I59" s="377"/>
      <c r="J59" s="377"/>
      <c r="K59" s="377"/>
      <c r="L59" s="377"/>
      <c r="M59" s="377"/>
    </row>
    <row r="60" spans="1:13" ht="15.75">
      <c r="A60" s="329"/>
      <c r="B60" s="311"/>
      <c r="C60" s="377"/>
      <c r="D60" s="377"/>
      <c r="E60" s="377"/>
      <c r="F60" s="377"/>
      <c r="G60" s="377"/>
      <c r="H60" s="377"/>
      <c r="I60" s="377"/>
      <c r="J60" s="377"/>
      <c r="K60" s="377"/>
      <c r="L60" s="377"/>
      <c r="M60" s="377"/>
    </row>
    <row r="61" spans="1:13" ht="15.75">
      <c r="A61" s="346"/>
      <c r="B61" s="380"/>
      <c r="C61" s="377"/>
      <c r="D61" s="377"/>
      <c r="E61" s="377"/>
      <c r="F61" s="377"/>
      <c r="G61" s="377"/>
      <c r="H61" s="377"/>
      <c r="I61" s="377"/>
      <c r="J61" s="377"/>
      <c r="K61" s="377"/>
      <c r="L61" s="377"/>
      <c r="M61" s="377"/>
    </row>
    <row r="62" spans="1:13" ht="15.75">
      <c r="A62" s="346"/>
      <c r="B62" s="380"/>
      <c r="C62" s="377"/>
      <c r="D62" s="377"/>
      <c r="E62" s="377"/>
      <c r="F62" s="377"/>
      <c r="G62" s="377"/>
      <c r="H62" s="377"/>
      <c r="I62" s="377"/>
      <c r="J62" s="377"/>
      <c r="K62" s="377"/>
      <c r="L62" s="377"/>
      <c r="M62" s="377"/>
    </row>
    <row r="63" spans="1:13" ht="12.75">
      <c r="A63" s="377"/>
      <c r="B63" s="377"/>
      <c r="C63" s="377"/>
      <c r="D63" s="377"/>
      <c r="E63" s="377"/>
      <c r="F63" s="377"/>
      <c r="G63" s="377"/>
      <c r="H63" s="377"/>
      <c r="I63" s="377"/>
      <c r="J63" s="377"/>
      <c r="K63" s="377"/>
      <c r="L63" s="377"/>
      <c r="M63" s="377"/>
    </row>
  </sheetData>
  <sheetProtection password="C688" sheet="1" objects="1" selectLockedCells="1" selectUnlockedCells="1"/>
  <pageMargins left="0.75" right="0.75" top="1" bottom="1" header="0.5" footer="0.5"/>
  <pageSetup scale="68" orientation="portrait" cellComments="asDisplayed" horizontalDpi="300" verticalDpi="300" r:id="rId1"/>
  <headerFooter alignWithMargins="0">
    <oddFooter>&amp;L&amp;5&amp;D &amp;T rg Z:\Benefits\benefits model\FY07\FY07 fall final.xls  tab:  &amp;A</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134"/>
  <sheetViews>
    <sheetView zoomScale="75" workbookViewId="0">
      <selection sqref="A1:H1"/>
    </sheetView>
  </sheetViews>
  <sheetFormatPr defaultColWidth="9.28515625" defaultRowHeight="12.75"/>
  <cols>
    <col min="1" max="1" width="9" style="428" customWidth="1"/>
    <col min="2" max="2" width="19" style="428" customWidth="1"/>
    <col min="3" max="3" width="21.85546875" style="428" customWidth="1"/>
    <col min="4" max="4" width="12.5703125" style="428" customWidth="1"/>
    <col min="5" max="5" width="15.140625" style="428" customWidth="1"/>
    <col min="6" max="6" width="10.5703125" style="428" hidden="1" customWidth="1"/>
    <col min="7" max="7" width="31.7109375" style="428" customWidth="1"/>
    <col min="8" max="8" width="16.140625" style="38" customWidth="1"/>
    <col min="9" max="9" width="10.42578125" style="38" customWidth="1"/>
    <col min="10" max="16384" width="9.28515625" style="38"/>
  </cols>
  <sheetData>
    <row r="1" spans="1:9" ht="27.6" customHeight="1">
      <c r="A1" s="1505" t="s">
        <v>107</v>
      </c>
      <c r="B1" s="1505"/>
      <c r="C1" s="1505"/>
      <c r="D1" s="1505"/>
      <c r="E1" s="1505"/>
      <c r="F1" s="1505"/>
      <c r="G1" s="1505"/>
      <c r="H1" s="1505"/>
      <c r="I1" s="382"/>
    </row>
    <row r="2" spans="1:9" ht="23.45" customHeight="1">
      <c r="A2" s="1509" t="s">
        <v>462</v>
      </c>
      <c r="B2" s="1509"/>
      <c r="C2" s="1509"/>
      <c r="D2" s="1509"/>
      <c r="E2" s="1509"/>
      <c r="F2" s="1509"/>
      <c r="G2" s="1509"/>
      <c r="H2" s="1509"/>
      <c r="I2" s="383"/>
    </row>
    <row r="3" spans="1:9" ht="12.6" customHeight="1">
      <c r="A3" s="384"/>
      <c r="B3" s="385"/>
      <c r="C3" s="385"/>
      <c r="D3" s="385"/>
      <c r="E3" s="385"/>
      <c r="F3" s="385"/>
      <c r="G3" s="385"/>
      <c r="H3" s="385"/>
      <c r="I3" s="385"/>
    </row>
    <row r="4" spans="1:9">
      <c r="A4" s="386" t="s">
        <v>142</v>
      </c>
      <c r="B4" s="386" t="s">
        <v>180</v>
      </c>
      <c r="C4" s="385"/>
      <c r="D4" s="385"/>
      <c r="E4" s="385"/>
      <c r="F4" s="385"/>
      <c r="G4" s="385"/>
      <c r="H4" s="385" t="s">
        <v>143</v>
      </c>
      <c r="I4" s="385"/>
    </row>
    <row r="5" spans="1:9">
      <c r="A5" s="385"/>
      <c r="B5" s="386" t="s">
        <v>144</v>
      </c>
      <c r="C5" s="385"/>
      <c r="D5" s="385"/>
      <c r="E5" s="385"/>
      <c r="F5" s="385"/>
      <c r="G5" s="385"/>
      <c r="H5" s="385"/>
      <c r="I5" s="385"/>
    </row>
    <row r="6" spans="1:9">
      <c r="A6" s="385"/>
      <c r="B6" s="386" t="s">
        <v>145</v>
      </c>
      <c r="C6" s="385"/>
      <c r="D6" s="385"/>
      <c r="E6" s="385"/>
      <c r="F6" s="385"/>
      <c r="G6" s="385"/>
      <c r="H6" s="385"/>
      <c r="I6" s="385"/>
    </row>
    <row r="7" spans="1:9" ht="15.75">
      <c r="A7" s="387"/>
      <c r="B7" s="387"/>
      <c r="C7" s="387"/>
      <c r="D7" s="388" t="s">
        <v>108</v>
      </c>
      <c r="E7" s="388" t="s">
        <v>109</v>
      </c>
      <c r="F7" s="387"/>
      <c r="G7" s="387"/>
      <c r="H7" s="387"/>
      <c r="I7" s="387"/>
    </row>
    <row r="8" spans="1:9" ht="18.75">
      <c r="A8" s="389" t="s">
        <v>156</v>
      </c>
      <c r="B8" s="390" t="s">
        <v>463</v>
      </c>
      <c r="C8" s="390"/>
      <c r="D8" s="391">
        <v>6.2E-2</v>
      </c>
      <c r="E8" s="392" t="s">
        <v>110</v>
      </c>
      <c r="F8" s="387"/>
      <c r="G8" s="387"/>
      <c r="H8" s="387"/>
      <c r="I8" s="387"/>
    </row>
    <row r="9" spans="1:9" ht="18.75">
      <c r="A9" s="389">
        <v>5</v>
      </c>
      <c r="B9" s="390" t="s">
        <v>111</v>
      </c>
      <c r="C9" s="393"/>
      <c r="D9" s="391">
        <v>1.4500000000000001E-2</v>
      </c>
      <c r="E9" s="392" t="s">
        <v>110</v>
      </c>
      <c r="F9" s="387"/>
      <c r="G9" s="387"/>
      <c r="H9" s="387"/>
      <c r="I9" s="387"/>
    </row>
    <row r="10" spans="1:9" ht="15.75">
      <c r="A10" s="387"/>
      <c r="B10" s="393" t="s">
        <v>112</v>
      </c>
      <c r="C10" s="393"/>
      <c r="D10" s="391">
        <v>0.05</v>
      </c>
      <c r="E10" s="392" t="s">
        <v>110</v>
      </c>
      <c r="F10" s="387"/>
      <c r="G10" s="387"/>
      <c r="H10" s="387"/>
      <c r="I10" s="387"/>
    </row>
    <row r="11" spans="1:9" ht="15.75">
      <c r="A11" s="387"/>
      <c r="B11" s="393" t="s">
        <v>113</v>
      </c>
      <c r="C11" s="393"/>
      <c r="D11" s="391">
        <v>7.4999999999999997E-2</v>
      </c>
      <c r="E11" s="392" t="s">
        <v>110</v>
      </c>
      <c r="F11" s="387"/>
      <c r="G11" s="387"/>
      <c r="H11" s="387"/>
      <c r="I11" s="387"/>
    </row>
    <row r="12" spans="1:9" ht="15.75">
      <c r="A12" s="387"/>
      <c r="B12" s="393" t="s">
        <v>114</v>
      </c>
      <c r="C12" s="393"/>
      <c r="D12" s="391">
        <v>0.1</v>
      </c>
      <c r="E12" s="392" t="s">
        <v>110</v>
      </c>
      <c r="F12" s="387"/>
      <c r="G12" s="387"/>
      <c r="H12" s="387"/>
      <c r="I12" s="387"/>
    </row>
    <row r="13" spans="1:9" ht="18.75">
      <c r="A13" s="389"/>
      <c r="B13" s="393" t="s">
        <v>115</v>
      </c>
      <c r="C13" s="393"/>
      <c r="D13" s="391">
        <v>7.4999999999999997E-2</v>
      </c>
      <c r="E13" s="392" t="s">
        <v>110</v>
      </c>
      <c r="F13" s="387"/>
      <c r="G13" s="387"/>
      <c r="H13" s="387"/>
      <c r="I13" s="387"/>
    </row>
    <row r="14" spans="1:9" ht="18.75">
      <c r="A14" s="389"/>
      <c r="B14" s="393" t="s">
        <v>116</v>
      </c>
      <c r="C14" s="393"/>
      <c r="D14" s="391">
        <v>7.4999999999999997E-2</v>
      </c>
      <c r="E14" s="392" t="s">
        <v>110</v>
      </c>
      <c r="F14" s="387"/>
      <c r="G14" s="387"/>
      <c r="H14" s="387"/>
      <c r="I14" s="387"/>
    </row>
    <row r="15" spans="1:9" ht="18.75">
      <c r="A15" s="389"/>
      <c r="B15" s="393" t="s">
        <v>117</v>
      </c>
      <c r="C15" s="393"/>
      <c r="D15" s="391">
        <v>7.4999999999999997E-2</v>
      </c>
      <c r="E15" s="392" t="s">
        <v>110</v>
      </c>
      <c r="F15" s="387"/>
      <c r="G15" s="387"/>
      <c r="H15" s="387"/>
      <c r="I15" s="387"/>
    </row>
    <row r="16" spans="1:9" ht="18.75">
      <c r="A16" s="389"/>
      <c r="B16" s="393" t="s">
        <v>118</v>
      </c>
      <c r="C16" s="393"/>
      <c r="D16" s="391">
        <v>8.0399999999999999E-2</v>
      </c>
      <c r="E16" s="392" t="s">
        <v>110</v>
      </c>
      <c r="F16" s="387"/>
      <c r="G16" s="387"/>
      <c r="H16" s="387"/>
      <c r="I16" s="387"/>
    </row>
    <row r="17" spans="1:9" ht="18.75">
      <c r="A17" s="389"/>
      <c r="B17" s="393" t="s">
        <v>119</v>
      </c>
      <c r="C17" s="393"/>
      <c r="D17" s="391">
        <v>8.0399999999999999E-2</v>
      </c>
      <c r="E17" s="392" t="s">
        <v>110</v>
      </c>
      <c r="F17" s="387"/>
      <c r="G17" s="387"/>
      <c r="H17" s="387"/>
      <c r="I17" s="387"/>
    </row>
    <row r="18" spans="1:9" ht="18.75">
      <c r="A18" s="389"/>
      <c r="B18" s="393" t="s">
        <v>120</v>
      </c>
      <c r="C18" s="393"/>
      <c r="D18" s="391">
        <v>8.6199999999999999E-2</v>
      </c>
      <c r="E18" s="392" t="s">
        <v>110</v>
      </c>
      <c r="F18" s="387"/>
      <c r="G18" s="387"/>
      <c r="H18" s="387"/>
      <c r="I18" s="387"/>
    </row>
    <row r="19" spans="1:9" ht="18.75">
      <c r="A19" s="389"/>
      <c r="B19" s="393" t="s">
        <v>121</v>
      </c>
      <c r="C19" s="393"/>
      <c r="D19" s="391">
        <v>7.4999999999999997E-2</v>
      </c>
      <c r="E19" s="392" t="s">
        <v>122</v>
      </c>
      <c r="F19" s="387"/>
      <c r="G19" s="387"/>
      <c r="H19" s="387"/>
      <c r="I19" s="387"/>
    </row>
    <row r="20" spans="1:9" ht="18.75">
      <c r="A20" s="389"/>
      <c r="B20" s="393" t="s">
        <v>123</v>
      </c>
      <c r="C20" s="393"/>
      <c r="D20" s="391">
        <v>7.4999999999999997E-2</v>
      </c>
      <c r="E20" s="392" t="s">
        <v>122</v>
      </c>
      <c r="F20" s="387"/>
      <c r="G20" s="387"/>
      <c r="H20" s="387"/>
      <c r="I20" s="387"/>
    </row>
    <row r="21" spans="1:9" ht="18.75">
      <c r="A21" s="394"/>
      <c r="B21" s="390" t="s">
        <v>464</v>
      </c>
      <c r="C21" s="390"/>
      <c r="D21" s="391">
        <v>4.4588948859147059E-3</v>
      </c>
      <c r="E21" s="392" t="s">
        <v>110</v>
      </c>
      <c r="F21" s="387"/>
      <c r="G21" s="387"/>
      <c r="H21" s="387"/>
      <c r="I21" s="387"/>
    </row>
    <row r="22" spans="1:9" ht="18.75">
      <c r="A22" s="394"/>
      <c r="B22" s="390" t="s">
        <v>125</v>
      </c>
      <c r="C22" s="390"/>
      <c r="D22" s="395">
        <v>33.81</v>
      </c>
      <c r="E22" s="392" t="s">
        <v>126</v>
      </c>
      <c r="F22" s="387"/>
      <c r="G22" s="387"/>
      <c r="H22" s="387"/>
      <c r="I22" s="387"/>
    </row>
    <row r="23" spans="1:9" ht="18.75">
      <c r="A23" s="394"/>
      <c r="B23" s="390" t="s">
        <v>465</v>
      </c>
      <c r="C23" s="390"/>
      <c r="D23" s="395">
        <v>850</v>
      </c>
      <c r="E23" s="390" t="s">
        <v>127</v>
      </c>
      <c r="F23" s="387"/>
      <c r="G23" s="387"/>
      <c r="H23" s="387"/>
      <c r="I23" s="387"/>
    </row>
    <row r="24" spans="1:9" ht="18.75" hidden="1">
      <c r="A24" s="389">
        <v>7</v>
      </c>
      <c r="B24" s="390" t="s">
        <v>146</v>
      </c>
      <c r="C24" s="390"/>
      <c r="D24" s="395">
        <v>850</v>
      </c>
      <c r="E24" s="390" t="s">
        <v>127</v>
      </c>
      <c r="F24" s="387"/>
      <c r="G24" s="387"/>
      <c r="H24" s="387"/>
      <c r="I24" s="387"/>
    </row>
    <row r="25" spans="1:9" ht="18.75">
      <c r="A25" s="394"/>
      <c r="B25" s="390" t="s">
        <v>466</v>
      </c>
      <c r="C25" s="390"/>
      <c r="D25" s="395">
        <v>740</v>
      </c>
      <c r="E25" s="390" t="s">
        <v>157</v>
      </c>
      <c r="F25" s="387"/>
      <c r="G25" s="387"/>
      <c r="H25" s="387"/>
      <c r="I25" s="387"/>
    </row>
    <row r="26" spans="1:9" ht="18.75">
      <c r="A26" s="389">
        <v>3</v>
      </c>
      <c r="B26" s="390" t="s">
        <v>467</v>
      </c>
      <c r="C26" s="390"/>
      <c r="D26" s="395">
        <v>850</v>
      </c>
      <c r="E26" s="390" t="s">
        <v>468</v>
      </c>
      <c r="F26" s="387"/>
      <c r="G26" s="387"/>
      <c r="H26" s="387"/>
      <c r="I26" s="387"/>
    </row>
    <row r="27" spans="1:9" ht="18.75">
      <c r="A27" s="389"/>
      <c r="B27" s="390" t="s">
        <v>469</v>
      </c>
      <c r="C27" s="390"/>
      <c r="D27" s="395">
        <v>4544</v>
      </c>
      <c r="E27" s="390" t="s">
        <v>157</v>
      </c>
      <c r="F27" s="387"/>
      <c r="G27" s="387"/>
      <c r="H27" s="387"/>
      <c r="I27" s="387"/>
    </row>
    <row r="28" spans="1:9" ht="18.75">
      <c r="A28" s="389">
        <v>2</v>
      </c>
      <c r="B28" s="396" t="s">
        <v>131</v>
      </c>
      <c r="C28" s="396"/>
      <c r="D28" s="387"/>
      <c r="E28" s="387"/>
      <c r="F28" s="387"/>
      <c r="G28" s="387"/>
      <c r="H28" s="387"/>
      <c r="I28" s="387"/>
    </row>
    <row r="29" spans="1:9" ht="15.75">
      <c r="A29" s="397" t="s">
        <v>147</v>
      </c>
      <c r="B29" s="398"/>
      <c r="C29" s="399"/>
      <c r="D29" s="399"/>
      <c r="E29" s="399"/>
      <c r="F29" s="399"/>
      <c r="G29" s="399"/>
      <c r="H29" s="399" t="s">
        <v>143</v>
      </c>
      <c r="I29" s="399"/>
    </row>
    <row r="30" spans="1:9" ht="18.75">
      <c r="A30" s="394"/>
      <c r="B30" s="393" t="s">
        <v>174</v>
      </c>
      <c r="C30" s="390" t="s">
        <v>470</v>
      </c>
      <c r="D30" s="400"/>
      <c r="E30" s="387"/>
      <c r="F30" s="387"/>
      <c r="G30" s="387"/>
      <c r="H30" s="387"/>
      <c r="I30" s="387"/>
    </row>
    <row r="31" spans="1:9" ht="18.75" hidden="1">
      <c r="A31" s="394"/>
      <c r="B31" s="390" t="s">
        <v>148</v>
      </c>
      <c r="C31" s="390" t="s">
        <v>470</v>
      </c>
      <c r="D31" s="400"/>
      <c r="E31" s="387"/>
      <c r="F31" s="387"/>
      <c r="G31" s="387"/>
      <c r="H31" s="387"/>
      <c r="I31" s="387"/>
    </row>
    <row r="32" spans="1:9" ht="18.75">
      <c r="A32" s="394"/>
      <c r="B32" s="390" t="s">
        <v>132</v>
      </c>
      <c r="C32" s="390" t="s">
        <v>471</v>
      </c>
      <c r="D32" s="400"/>
      <c r="E32" s="387"/>
      <c r="F32" s="387"/>
      <c r="G32" s="387"/>
      <c r="H32" s="387"/>
      <c r="I32" s="387"/>
    </row>
    <row r="33" spans="1:9" ht="18.75">
      <c r="A33" s="394"/>
      <c r="B33" s="393" t="s">
        <v>133</v>
      </c>
      <c r="C33" s="390" t="s">
        <v>472</v>
      </c>
      <c r="D33" s="400"/>
      <c r="E33" s="387"/>
      <c r="F33" s="387"/>
      <c r="G33" s="387"/>
      <c r="H33" s="387"/>
      <c r="I33" s="387"/>
    </row>
    <row r="34" spans="1:9" ht="18.75">
      <c r="A34" s="394"/>
      <c r="B34" s="393" t="s">
        <v>149</v>
      </c>
      <c r="C34" s="390" t="s">
        <v>473</v>
      </c>
      <c r="D34" s="400"/>
      <c r="E34" s="387"/>
      <c r="F34" s="387"/>
      <c r="G34" s="387"/>
      <c r="H34" s="387"/>
      <c r="I34" s="387"/>
    </row>
    <row r="35" spans="1:9" ht="18.75">
      <c r="A35" s="389">
        <v>3</v>
      </c>
      <c r="B35" s="401" t="s">
        <v>134</v>
      </c>
      <c r="C35" s="402"/>
      <c r="D35" s="399"/>
      <c r="E35" s="399"/>
      <c r="F35" s="387"/>
      <c r="G35" s="387"/>
      <c r="H35" s="387"/>
      <c r="I35" s="387"/>
    </row>
    <row r="36" spans="1:9" ht="18.75">
      <c r="A36" s="394"/>
      <c r="B36" s="387"/>
      <c r="C36" s="387"/>
      <c r="D36" s="403" t="s">
        <v>223</v>
      </c>
      <c r="E36" s="403" t="s">
        <v>241</v>
      </c>
      <c r="F36" s="404"/>
      <c r="G36" s="405" t="s">
        <v>474</v>
      </c>
      <c r="H36" s="405"/>
      <c r="I36" s="387"/>
    </row>
    <row r="37" spans="1:9" ht="18.75">
      <c r="A37" s="394"/>
      <c r="B37" s="406" t="s">
        <v>158</v>
      </c>
      <c r="C37" s="406"/>
      <c r="D37" s="407">
        <v>0.37249211095436852</v>
      </c>
      <c r="E37" s="407">
        <v>0.4069103086575479</v>
      </c>
      <c r="F37" s="408"/>
      <c r="G37" s="409">
        <v>0.42985040704911143</v>
      </c>
      <c r="H37" s="410"/>
      <c r="I37" s="387"/>
    </row>
    <row r="38" spans="1:9" ht="18.75">
      <c r="A38" s="394"/>
      <c r="B38" s="406" t="s">
        <v>159</v>
      </c>
      <c r="C38" s="406"/>
      <c r="D38" s="407">
        <v>0.35134402477721444</v>
      </c>
      <c r="E38" s="407">
        <v>0.38594613823365048</v>
      </c>
      <c r="F38" s="408"/>
      <c r="G38" s="409">
        <v>0.40912577275274981</v>
      </c>
      <c r="H38" s="410"/>
      <c r="I38" s="387"/>
    </row>
    <row r="39" spans="1:9" ht="18.75">
      <c r="A39" s="394"/>
      <c r="B39" s="406" t="s">
        <v>160</v>
      </c>
      <c r="C39" s="406"/>
      <c r="D39" s="407">
        <v>0.31283210035093206</v>
      </c>
      <c r="E39" s="407">
        <v>0.34036707822541662</v>
      </c>
      <c r="F39" s="408"/>
      <c r="G39" s="409">
        <v>0.34667421702270829</v>
      </c>
      <c r="H39" s="410"/>
      <c r="I39" s="387"/>
    </row>
    <row r="40" spans="1:9" ht="18.75">
      <c r="A40" s="394"/>
      <c r="B40" s="406" t="s">
        <v>105</v>
      </c>
      <c r="C40" s="406"/>
      <c r="D40" s="407">
        <v>0.28734247336609081</v>
      </c>
      <c r="E40" s="407">
        <v>0.30803411269590014</v>
      </c>
      <c r="F40" s="408"/>
      <c r="G40" s="409">
        <v>0.30992358704675038</v>
      </c>
      <c r="H40" s="410"/>
      <c r="I40" s="387"/>
    </row>
    <row r="41" spans="1:9" ht="13.9" customHeight="1">
      <c r="A41" s="394"/>
      <c r="B41" s="406"/>
      <c r="C41" s="406"/>
      <c r="D41" s="407"/>
      <c r="E41" s="407"/>
      <c r="F41" s="408"/>
      <c r="G41" s="409"/>
      <c r="H41" s="387"/>
      <c r="I41" s="387"/>
    </row>
    <row r="42" spans="1:9" ht="18.75">
      <c r="A42" s="394"/>
      <c r="B42" s="406" t="s">
        <v>161</v>
      </c>
      <c r="C42" s="406"/>
      <c r="D42" s="407">
        <v>0.32293779511951887</v>
      </c>
      <c r="E42" s="407">
        <v>0.35072413579152839</v>
      </c>
      <c r="F42" s="408"/>
      <c r="G42" s="409">
        <v>0.36205191397276942</v>
      </c>
      <c r="H42" s="387"/>
      <c r="I42" s="387"/>
    </row>
    <row r="43" spans="1:9" ht="15" customHeight="1">
      <c r="A43" s="394"/>
      <c r="B43" s="411"/>
      <c r="C43" s="411"/>
      <c r="D43" s="408"/>
      <c r="E43" s="408"/>
      <c r="F43" s="408"/>
      <c r="G43" s="412" t="s">
        <v>162</v>
      </c>
      <c r="H43" s="413" t="s">
        <v>163</v>
      </c>
      <c r="I43" s="387"/>
    </row>
    <row r="44" spans="1:9" ht="18.75">
      <c r="A44" s="394">
        <v>4</v>
      </c>
      <c r="B44" s="406" t="s">
        <v>164</v>
      </c>
      <c r="C44" s="406"/>
      <c r="D44" s="407">
        <v>0.108</v>
      </c>
      <c r="E44" s="407">
        <v>0.106</v>
      </c>
      <c r="F44" s="387"/>
      <c r="G44" s="414">
        <v>0.11262049406546687</v>
      </c>
      <c r="H44" s="415">
        <v>0.73963180504028514</v>
      </c>
      <c r="I44" s="409"/>
    </row>
    <row r="45" spans="1:9" ht="18.75">
      <c r="A45" s="394">
        <v>6</v>
      </c>
      <c r="B45" s="416" t="s">
        <v>135</v>
      </c>
      <c r="C45" s="416"/>
      <c r="D45" s="408"/>
      <c r="E45" s="408"/>
      <c r="F45" s="408"/>
      <c r="G45" s="409" t="s">
        <v>475</v>
      </c>
      <c r="H45" s="387"/>
      <c r="I45" s="387"/>
    </row>
    <row r="46" spans="1:9" ht="15.6" customHeight="1">
      <c r="A46" s="394"/>
      <c r="B46" s="416"/>
      <c r="C46" s="416"/>
      <c r="D46" s="417" t="s">
        <v>136</v>
      </c>
      <c r="E46" s="417" t="s">
        <v>136</v>
      </c>
      <c r="F46" s="408"/>
      <c r="G46" s="418" t="s">
        <v>150</v>
      </c>
      <c r="H46" s="419" t="s">
        <v>137</v>
      </c>
      <c r="I46" s="420"/>
    </row>
    <row r="47" spans="1:9" ht="18.75">
      <c r="A47" s="394">
        <v>6</v>
      </c>
      <c r="B47" s="416" t="s">
        <v>138</v>
      </c>
      <c r="C47" s="416"/>
      <c r="D47" s="421">
        <v>9.5000000000000001E-2</v>
      </c>
      <c r="E47" s="421">
        <v>9.6000000000000002E-2</v>
      </c>
      <c r="F47" s="408"/>
      <c r="G47" s="422" t="s">
        <v>476</v>
      </c>
      <c r="H47" s="414">
        <v>0.7886179354094579</v>
      </c>
      <c r="I47" s="409"/>
    </row>
    <row r="48" spans="1:9" ht="13.9" customHeight="1">
      <c r="A48" s="394"/>
      <c r="B48" s="416"/>
      <c r="C48" s="416"/>
      <c r="D48" s="408"/>
      <c r="E48" s="408"/>
      <c r="F48" s="408"/>
      <c r="G48" s="409"/>
      <c r="H48" s="423"/>
      <c r="I48" s="423"/>
    </row>
    <row r="49" spans="1:9" ht="18.75">
      <c r="A49" s="394">
        <v>1</v>
      </c>
      <c r="B49" s="424" t="s">
        <v>477</v>
      </c>
      <c r="C49" s="416"/>
      <c r="D49" s="408"/>
      <c r="E49" s="408"/>
      <c r="F49" s="408"/>
      <c r="G49" s="387"/>
      <c r="H49" s="387"/>
      <c r="I49" s="387"/>
    </row>
    <row r="50" spans="1:9" ht="18.600000000000001" customHeight="1">
      <c r="A50" s="394">
        <v>2</v>
      </c>
      <c r="B50" s="424" t="s">
        <v>478</v>
      </c>
      <c r="C50" s="425"/>
      <c r="D50" s="426"/>
      <c r="E50" s="426"/>
      <c r="F50" s="426"/>
      <c r="G50" s="427"/>
      <c r="H50" s="427"/>
      <c r="I50" s="427"/>
    </row>
    <row r="51" spans="1:9">
      <c r="B51" s="429" t="s">
        <v>479</v>
      </c>
      <c r="C51" s="430"/>
      <c r="D51" s="427"/>
      <c r="E51" s="427"/>
      <c r="F51" s="426"/>
      <c r="G51" s="427"/>
      <c r="H51" s="427"/>
      <c r="I51" s="427"/>
    </row>
    <row r="52" spans="1:9" ht="19.149999999999999" customHeight="1">
      <c r="A52" s="394">
        <v>3</v>
      </c>
      <c r="B52" s="424" t="s">
        <v>151</v>
      </c>
      <c r="C52" s="425"/>
      <c r="D52" s="427"/>
      <c r="E52" s="427"/>
      <c r="F52" s="426"/>
      <c r="G52" s="427"/>
      <c r="H52" s="427"/>
      <c r="I52" s="427"/>
    </row>
    <row r="53" spans="1:9">
      <c r="A53" s="431"/>
      <c r="B53" s="424" t="s">
        <v>480</v>
      </c>
      <c r="C53" s="425"/>
      <c r="D53" s="427"/>
      <c r="E53" s="427"/>
      <c r="F53" s="426"/>
      <c r="G53" s="427"/>
      <c r="H53" s="427"/>
      <c r="I53" s="427"/>
    </row>
    <row r="54" spans="1:9">
      <c r="A54" s="431"/>
      <c r="B54" s="432" t="s">
        <v>152</v>
      </c>
      <c r="C54" s="425"/>
      <c r="D54" s="427"/>
      <c r="E54" s="427"/>
      <c r="F54" s="426"/>
      <c r="G54" s="427"/>
      <c r="H54" s="427"/>
      <c r="I54" s="427"/>
    </row>
    <row r="55" spans="1:9">
      <c r="A55" s="433"/>
      <c r="B55" s="434" t="s">
        <v>177</v>
      </c>
      <c r="C55" s="433"/>
      <c r="D55" s="433"/>
      <c r="E55" s="433"/>
      <c r="F55" s="433"/>
      <c r="G55" s="435"/>
      <c r="H55" s="435"/>
      <c r="I55" s="435"/>
    </row>
    <row r="56" spans="1:9" ht="13.15" customHeight="1">
      <c r="A56" s="436"/>
      <c r="B56" s="434" t="s">
        <v>139</v>
      </c>
      <c r="C56" s="433"/>
      <c r="D56" s="433"/>
      <c r="E56" s="433"/>
      <c r="F56" s="433"/>
      <c r="G56" s="435"/>
      <c r="H56" s="435"/>
      <c r="I56" s="435"/>
    </row>
    <row r="57" spans="1:9">
      <c r="A57" s="433"/>
      <c r="B57" s="437" t="s">
        <v>481</v>
      </c>
      <c r="C57" s="433"/>
      <c r="D57" s="433"/>
      <c r="E57" s="433"/>
      <c r="F57" s="433"/>
      <c r="G57" s="435"/>
      <c r="H57" s="435"/>
      <c r="I57" s="435"/>
    </row>
    <row r="58" spans="1:9">
      <c r="A58" s="433"/>
      <c r="B58" s="437" t="s">
        <v>482</v>
      </c>
      <c r="C58" s="433"/>
      <c r="D58" s="433"/>
      <c r="E58" s="433"/>
      <c r="F58" s="433"/>
      <c r="G58" s="435"/>
      <c r="H58" s="435"/>
      <c r="I58" s="435"/>
    </row>
    <row r="59" spans="1:9">
      <c r="A59" s="433"/>
      <c r="B59" s="437" t="s">
        <v>483</v>
      </c>
      <c r="C59" s="433"/>
      <c r="D59" s="433"/>
      <c r="E59" s="433"/>
      <c r="F59" s="433"/>
      <c r="G59" s="435"/>
      <c r="H59" s="435"/>
      <c r="I59" s="435"/>
    </row>
    <row r="60" spans="1:9" ht="17.45" customHeight="1">
      <c r="A60" s="394">
        <v>4</v>
      </c>
      <c r="B60" s="432" t="s">
        <v>165</v>
      </c>
      <c r="C60" s="427"/>
      <c r="D60" s="427"/>
      <c r="E60" s="427"/>
      <c r="F60" s="426"/>
      <c r="G60" s="427"/>
      <c r="H60" s="427"/>
      <c r="I60" s="427"/>
    </row>
    <row r="61" spans="1:9">
      <c r="A61" s="433"/>
      <c r="B61" s="437" t="s">
        <v>484</v>
      </c>
      <c r="C61" s="433"/>
      <c r="D61" s="433"/>
      <c r="E61" s="433"/>
      <c r="F61" s="433"/>
      <c r="G61" s="435"/>
    </row>
    <row r="62" spans="1:9" ht="18.75">
      <c r="A62" s="394">
        <v>5</v>
      </c>
      <c r="B62" s="437" t="s">
        <v>153</v>
      </c>
      <c r="C62" s="433"/>
      <c r="D62" s="433"/>
      <c r="E62" s="433"/>
      <c r="F62" s="433"/>
      <c r="G62" s="435"/>
      <c r="H62" s="435"/>
      <c r="I62" s="435"/>
    </row>
    <row r="63" spans="1:9">
      <c r="A63" s="433"/>
      <c r="B63" s="437" t="s">
        <v>154</v>
      </c>
      <c r="C63" s="433"/>
      <c r="D63" s="433"/>
      <c r="E63" s="433"/>
      <c r="F63" s="433"/>
      <c r="G63" s="435"/>
      <c r="H63" s="435"/>
      <c r="I63" s="435"/>
    </row>
    <row r="64" spans="1:9" ht="18.75">
      <c r="A64" s="394">
        <v>6</v>
      </c>
      <c r="B64" s="437" t="s">
        <v>140</v>
      </c>
      <c r="C64" s="433"/>
      <c r="D64" s="433"/>
      <c r="E64" s="433"/>
      <c r="F64" s="433"/>
      <c r="G64" s="435"/>
      <c r="H64" s="435"/>
      <c r="I64" s="435"/>
    </row>
    <row r="65" spans="1:7" ht="18.75" hidden="1">
      <c r="A65" s="394">
        <v>7</v>
      </c>
      <c r="B65" s="437" t="s">
        <v>227</v>
      </c>
      <c r="C65" s="433"/>
      <c r="D65" s="433"/>
      <c r="E65" s="433"/>
      <c r="F65" s="432"/>
      <c r="G65" s="435"/>
    </row>
    <row r="66" spans="1:7">
      <c r="A66" s="432"/>
      <c r="B66" s="433"/>
      <c r="C66" s="433"/>
      <c r="D66" s="438"/>
      <c r="E66" s="433"/>
      <c r="F66" s="432"/>
      <c r="G66" s="435"/>
    </row>
    <row r="67" spans="1:7">
      <c r="A67" s="439"/>
      <c r="B67" s="433"/>
      <c r="C67" s="433"/>
      <c r="D67" s="439"/>
      <c r="E67" s="433"/>
      <c r="F67" s="439"/>
      <c r="G67" s="435"/>
    </row>
    <row r="68" spans="1:7">
      <c r="A68" s="433"/>
      <c r="B68" s="433"/>
      <c r="C68" s="433"/>
      <c r="D68" s="433"/>
      <c r="E68" s="433"/>
      <c r="F68" s="438"/>
      <c r="G68" s="435"/>
    </row>
    <row r="69" spans="1:7">
      <c r="A69" s="432"/>
      <c r="B69" s="433"/>
      <c r="C69" s="433"/>
      <c r="D69" s="438"/>
      <c r="E69" s="433"/>
      <c r="F69" s="438"/>
      <c r="G69" s="433"/>
    </row>
    <row r="70" spans="1:7">
      <c r="A70" s="432"/>
      <c r="B70" s="433"/>
      <c r="C70" s="433"/>
      <c r="D70" s="438"/>
      <c r="E70" s="433"/>
      <c r="F70" s="438"/>
      <c r="G70" s="433"/>
    </row>
    <row r="71" spans="1:7">
      <c r="A71" s="432"/>
      <c r="B71" s="433"/>
      <c r="C71" s="433"/>
      <c r="D71" s="438"/>
      <c r="E71" s="433"/>
      <c r="F71" s="438"/>
      <c r="G71" s="433"/>
    </row>
    <row r="72" spans="1:7">
      <c r="A72" s="433"/>
      <c r="B72" s="433"/>
      <c r="C72" s="433"/>
      <c r="D72" s="439"/>
      <c r="E72" s="433"/>
      <c r="F72" s="438"/>
      <c r="G72" s="433"/>
    </row>
    <row r="73" spans="1:7">
      <c r="A73" s="432"/>
      <c r="B73" s="433"/>
      <c r="C73" s="433"/>
      <c r="D73" s="438"/>
      <c r="E73" s="433"/>
      <c r="F73" s="438"/>
      <c r="G73" s="433"/>
    </row>
    <row r="74" spans="1:7">
      <c r="A74" s="433"/>
      <c r="B74" s="433"/>
      <c r="C74" s="433"/>
      <c r="D74" s="433"/>
      <c r="E74" s="433"/>
      <c r="F74" s="433"/>
      <c r="G74" s="433"/>
    </row>
    <row r="75" spans="1:7">
      <c r="A75" s="432"/>
      <c r="B75" s="433"/>
      <c r="C75" s="433"/>
      <c r="D75" s="438"/>
      <c r="E75" s="433"/>
      <c r="G75" s="433"/>
    </row>
    <row r="76" spans="1:7">
      <c r="A76" s="432"/>
      <c r="B76" s="433"/>
      <c r="C76" s="433"/>
      <c r="D76" s="438"/>
      <c r="E76" s="433"/>
      <c r="G76" s="433"/>
    </row>
    <row r="77" spans="1:7">
      <c r="A77" s="433"/>
      <c r="B77" s="433"/>
      <c r="C77" s="433"/>
      <c r="D77" s="433"/>
      <c r="E77" s="433"/>
      <c r="G77" s="433"/>
    </row>
    <row r="78" spans="1:7">
      <c r="A78" s="432"/>
      <c r="B78" s="433"/>
      <c r="C78" s="433"/>
      <c r="D78" s="438"/>
      <c r="E78" s="433"/>
      <c r="F78" s="433"/>
      <c r="G78" s="433"/>
    </row>
    <row r="79" spans="1:7">
      <c r="A79" s="432"/>
      <c r="B79" s="433"/>
      <c r="C79" s="433"/>
      <c r="D79" s="438"/>
      <c r="E79" s="433"/>
      <c r="F79" s="432"/>
      <c r="G79" s="433"/>
    </row>
    <row r="80" spans="1:7">
      <c r="A80" s="433"/>
      <c r="B80" s="433"/>
      <c r="C80" s="433"/>
      <c r="D80" s="433"/>
      <c r="E80" s="433"/>
      <c r="F80" s="433"/>
      <c r="G80" s="433"/>
    </row>
    <row r="81" spans="1:7">
      <c r="A81" s="433"/>
      <c r="B81" s="433"/>
      <c r="C81" s="433"/>
      <c r="D81" s="433"/>
      <c r="E81" s="433"/>
      <c r="F81" s="433"/>
      <c r="G81" s="433"/>
    </row>
    <row r="82" spans="1:7">
      <c r="A82" s="433"/>
      <c r="B82" s="433"/>
      <c r="C82" s="433"/>
      <c r="D82" s="433"/>
      <c r="E82" s="433"/>
      <c r="F82" s="433"/>
      <c r="G82" s="433"/>
    </row>
    <row r="83" spans="1:7">
      <c r="A83" s="433"/>
      <c r="B83" s="433"/>
      <c r="C83" s="433"/>
      <c r="D83" s="433"/>
      <c r="E83" s="433"/>
      <c r="F83" s="432"/>
      <c r="G83" s="433"/>
    </row>
    <row r="84" spans="1:7">
      <c r="A84" s="432"/>
      <c r="B84" s="433"/>
      <c r="C84" s="433"/>
      <c r="D84" s="438"/>
      <c r="E84" s="433"/>
      <c r="F84" s="432"/>
      <c r="G84" s="433"/>
    </row>
    <row r="85" spans="1:7">
      <c r="A85" s="439"/>
      <c r="B85" s="433"/>
      <c r="C85" s="433"/>
      <c r="D85" s="439"/>
      <c r="E85" s="433"/>
      <c r="F85" s="439"/>
      <c r="G85" s="433"/>
    </row>
    <row r="86" spans="1:7">
      <c r="A86" s="433"/>
      <c r="B86" s="433"/>
      <c r="C86" s="433"/>
      <c r="D86" s="433"/>
      <c r="E86" s="433"/>
      <c r="F86" s="438"/>
      <c r="G86" s="433"/>
    </row>
    <row r="87" spans="1:7">
      <c r="A87" s="432"/>
      <c r="B87" s="433"/>
      <c r="C87" s="433"/>
      <c r="D87" s="438"/>
      <c r="E87" s="433"/>
      <c r="F87" s="438"/>
      <c r="G87" s="433"/>
    </row>
    <row r="88" spans="1:7">
      <c r="A88" s="432"/>
      <c r="B88" s="433"/>
      <c r="C88" s="433"/>
      <c r="D88" s="438"/>
      <c r="E88" s="433"/>
      <c r="F88" s="438"/>
      <c r="G88" s="433"/>
    </row>
    <row r="89" spans="1:7">
      <c r="A89" s="432"/>
      <c r="B89" s="433"/>
      <c r="C89" s="433"/>
      <c r="D89" s="438"/>
      <c r="E89" s="433"/>
      <c r="F89" s="438"/>
      <c r="G89" s="433"/>
    </row>
    <row r="90" spans="1:7">
      <c r="A90" s="433"/>
      <c r="B90" s="433"/>
      <c r="C90" s="433"/>
      <c r="D90" s="439"/>
      <c r="E90" s="433"/>
      <c r="F90" s="438"/>
      <c r="G90" s="433"/>
    </row>
    <row r="91" spans="1:7">
      <c r="A91" s="432"/>
      <c r="B91" s="433"/>
      <c r="C91" s="433"/>
      <c r="D91" s="438"/>
      <c r="E91" s="433"/>
      <c r="F91" s="438"/>
      <c r="G91" s="433"/>
    </row>
    <row r="92" spans="1:7">
      <c r="A92" s="433"/>
      <c r="B92" s="433"/>
      <c r="C92" s="433"/>
      <c r="D92" s="433"/>
      <c r="E92" s="433"/>
      <c r="F92" s="433"/>
      <c r="G92" s="433"/>
    </row>
    <row r="93" spans="1:7">
      <c r="A93" s="432"/>
      <c r="B93" s="433"/>
      <c r="C93" s="433"/>
      <c r="D93" s="438"/>
      <c r="E93" s="433"/>
      <c r="F93" s="432"/>
      <c r="G93" s="433"/>
    </row>
    <row r="94" spans="1:7">
      <c r="A94" s="432"/>
      <c r="B94" s="433"/>
      <c r="C94" s="433"/>
      <c r="D94" s="438"/>
      <c r="E94" s="433"/>
      <c r="F94" s="432"/>
      <c r="G94" s="433"/>
    </row>
    <row r="95" spans="1:7">
      <c r="A95" s="433"/>
      <c r="B95" s="433"/>
      <c r="C95" s="433"/>
      <c r="D95" s="433"/>
      <c r="E95" s="433"/>
      <c r="F95" s="432"/>
      <c r="G95" s="433"/>
    </row>
    <row r="96" spans="1:7">
      <c r="A96" s="432"/>
      <c r="B96" s="433"/>
      <c r="C96" s="433"/>
      <c r="D96" s="438"/>
      <c r="E96" s="433"/>
      <c r="F96" s="433"/>
      <c r="G96" s="433"/>
    </row>
    <row r="97" spans="1:7">
      <c r="A97" s="432"/>
      <c r="B97" s="433"/>
      <c r="C97" s="433"/>
      <c r="D97" s="438"/>
      <c r="E97" s="433"/>
      <c r="F97" s="432"/>
      <c r="G97" s="433"/>
    </row>
    <row r="98" spans="1:7">
      <c r="A98" s="433"/>
      <c r="B98" s="433"/>
      <c r="C98" s="433"/>
      <c r="D98" s="433"/>
      <c r="E98" s="433"/>
      <c r="F98" s="433"/>
      <c r="G98" s="433"/>
    </row>
    <row r="99" spans="1:7">
      <c r="A99" s="433"/>
      <c r="B99" s="433"/>
      <c r="C99" s="433"/>
      <c r="D99" s="433"/>
      <c r="E99" s="433"/>
      <c r="F99" s="433"/>
      <c r="G99" s="433"/>
    </row>
    <row r="100" spans="1:7">
      <c r="A100" s="433"/>
      <c r="B100" s="433"/>
      <c r="C100" s="433"/>
      <c r="D100" s="433"/>
      <c r="E100" s="433"/>
      <c r="F100" s="433"/>
      <c r="G100" s="433"/>
    </row>
    <row r="101" spans="1:7">
      <c r="A101" s="433"/>
      <c r="B101" s="433"/>
      <c r="C101" s="433"/>
      <c r="D101" s="433"/>
      <c r="E101" s="433"/>
      <c r="F101" s="432"/>
      <c r="G101" s="433"/>
    </row>
    <row r="102" spans="1:7">
      <c r="A102" s="432"/>
      <c r="B102" s="433"/>
      <c r="C102" s="433"/>
      <c r="D102" s="438"/>
      <c r="E102" s="433"/>
      <c r="F102" s="432"/>
      <c r="G102" s="433"/>
    </row>
    <row r="103" spans="1:7">
      <c r="A103" s="439"/>
      <c r="B103" s="433"/>
      <c r="C103" s="433"/>
      <c r="D103" s="439"/>
      <c r="E103" s="433"/>
      <c r="F103" s="439"/>
      <c r="G103" s="433"/>
    </row>
    <row r="104" spans="1:7">
      <c r="A104" s="433"/>
      <c r="B104" s="433"/>
      <c r="C104" s="433"/>
      <c r="D104" s="433"/>
      <c r="E104" s="433"/>
      <c r="F104" s="438"/>
      <c r="G104" s="433"/>
    </row>
    <row r="105" spans="1:7">
      <c r="A105" s="432"/>
      <c r="B105" s="433"/>
      <c r="C105" s="433"/>
      <c r="D105" s="438"/>
      <c r="E105" s="433"/>
      <c r="F105" s="438"/>
      <c r="G105" s="433"/>
    </row>
    <row r="106" spans="1:7">
      <c r="A106" s="432"/>
      <c r="B106" s="433"/>
      <c r="C106" s="433"/>
      <c r="D106" s="438"/>
      <c r="E106" s="433"/>
      <c r="F106" s="438"/>
      <c r="G106" s="433"/>
    </row>
    <row r="107" spans="1:7">
      <c r="A107" s="432"/>
      <c r="B107" s="433"/>
      <c r="C107" s="433"/>
      <c r="D107" s="438"/>
      <c r="E107" s="433"/>
      <c r="F107" s="438"/>
      <c r="G107" s="433"/>
    </row>
    <row r="108" spans="1:7">
      <c r="A108" s="433"/>
      <c r="B108" s="433"/>
      <c r="C108" s="433"/>
      <c r="D108" s="439"/>
      <c r="E108" s="433"/>
      <c r="F108" s="438"/>
      <c r="G108" s="433"/>
    </row>
    <row r="109" spans="1:7">
      <c r="A109" s="432"/>
      <c r="B109" s="433"/>
      <c r="C109" s="433"/>
      <c r="D109" s="438"/>
      <c r="E109" s="433"/>
      <c r="F109" s="438"/>
      <c r="G109" s="433"/>
    </row>
    <row r="110" spans="1:7">
      <c r="A110" s="433"/>
      <c r="B110" s="433"/>
      <c r="C110" s="433"/>
      <c r="D110" s="433"/>
      <c r="E110" s="433"/>
      <c r="F110" s="433"/>
      <c r="G110" s="433"/>
    </row>
    <row r="111" spans="1:7">
      <c r="A111" s="432"/>
      <c r="B111" s="433"/>
      <c r="C111" s="433"/>
      <c r="D111" s="438"/>
      <c r="E111" s="433"/>
      <c r="F111" s="432"/>
      <c r="G111" s="433"/>
    </row>
    <row r="112" spans="1:7">
      <c r="A112" s="432"/>
      <c r="B112" s="433"/>
      <c r="C112" s="433"/>
      <c r="D112" s="438"/>
      <c r="E112" s="433"/>
      <c r="F112" s="432"/>
      <c r="G112" s="433"/>
    </row>
    <row r="113" spans="1:7">
      <c r="A113" s="433"/>
      <c r="B113" s="433"/>
      <c r="C113" s="433"/>
      <c r="D113" s="433"/>
      <c r="E113" s="433"/>
      <c r="F113" s="432"/>
      <c r="G113" s="433"/>
    </row>
    <row r="114" spans="1:7">
      <c r="A114" s="432"/>
      <c r="B114" s="433"/>
      <c r="C114" s="433"/>
      <c r="D114" s="438"/>
      <c r="E114" s="433"/>
      <c r="F114" s="433"/>
      <c r="G114" s="433"/>
    </row>
    <row r="115" spans="1:7">
      <c r="A115" s="432"/>
      <c r="B115" s="433"/>
      <c r="C115" s="433"/>
      <c r="D115" s="438"/>
      <c r="E115" s="433"/>
      <c r="F115" s="432"/>
      <c r="G115" s="433"/>
    </row>
    <row r="116" spans="1:7">
      <c r="A116" s="433"/>
      <c r="B116" s="433"/>
      <c r="C116" s="433"/>
      <c r="D116" s="433"/>
      <c r="E116" s="433"/>
      <c r="F116" s="433"/>
      <c r="G116" s="433"/>
    </row>
    <row r="117" spans="1:7">
      <c r="A117" s="433"/>
      <c r="B117" s="433"/>
      <c r="C117" s="433"/>
      <c r="D117" s="433"/>
      <c r="E117" s="433"/>
      <c r="F117" s="433"/>
      <c r="G117" s="433"/>
    </row>
    <row r="118" spans="1:7">
      <c r="A118" s="433"/>
      <c r="B118" s="433"/>
      <c r="C118" s="433"/>
      <c r="D118" s="433"/>
      <c r="E118" s="433"/>
      <c r="F118" s="432"/>
      <c r="G118" s="433"/>
    </row>
    <row r="119" spans="1:7">
      <c r="A119" s="432"/>
      <c r="B119" s="433"/>
      <c r="C119" s="433"/>
      <c r="D119" s="438"/>
      <c r="E119" s="433"/>
      <c r="F119" s="432"/>
      <c r="G119" s="433"/>
    </row>
    <row r="120" spans="1:7">
      <c r="A120" s="439"/>
      <c r="B120" s="433"/>
      <c r="C120" s="433"/>
      <c r="D120" s="439"/>
      <c r="E120" s="433"/>
      <c r="F120" s="439"/>
      <c r="G120" s="433"/>
    </row>
    <row r="121" spans="1:7">
      <c r="A121" s="433"/>
      <c r="B121" s="433"/>
      <c r="C121" s="433"/>
      <c r="D121" s="433"/>
      <c r="E121" s="433"/>
      <c r="F121" s="438"/>
      <c r="G121" s="433"/>
    </row>
    <row r="122" spans="1:7">
      <c r="A122" s="432"/>
      <c r="B122" s="433"/>
      <c r="C122" s="433"/>
      <c r="D122" s="438"/>
      <c r="E122" s="433"/>
      <c r="F122" s="438"/>
      <c r="G122" s="433"/>
    </row>
    <row r="123" spans="1:7">
      <c r="A123" s="432"/>
      <c r="B123" s="433"/>
      <c r="C123" s="433"/>
      <c r="D123" s="438"/>
      <c r="E123" s="433"/>
      <c r="F123" s="438"/>
      <c r="G123" s="433"/>
    </row>
    <row r="124" spans="1:7">
      <c r="A124" s="432"/>
      <c r="B124" s="433"/>
      <c r="C124" s="433"/>
      <c r="D124" s="438"/>
      <c r="E124" s="433"/>
      <c r="F124" s="438"/>
      <c r="G124" s="433"/>
    </row>
    <row r="125" spans="1:7">
      <c r="A125" s="433"/>
      <c r="B125" s="433"/>
      <c r="C125" s="433"/>
      <c r="D125" s="439"/>
      <c r="E125" s="433"/>
      <c r="F125" s="438"/>
      <c r="G125" s="433"/>
    </row>
    <row r="126" spans="1:7">
      <c r="A126" s="432"/>
      <c r="B126" s="433"/>
      <c r="C126" s="433"/>
      <c r="D126" s="438"/>
      <c r="E126" s="433"/>
      <c r="F126" s="438"/>
      <c r="G126" s="433"/>
    </row>
    <row r="127" spans="1:7">
      <c r="A127" s="433"/>
      <c r="B127" s="433"/>
      <c r="C127" s="433"/>
      <c r="D127" s="433"/>
      <c r="E127" s="433"/>
      <c r="F127" s="433"/>
      <c r="G127" s="433"/>
    </row>
    <row r="128" spans="1:7">
      <c r="A128" s="432"/>
      <c r="B128" s="433"/>
      <c r="C128" s="433"/>
      <c r="D128" s="438"/>
      <c r="E128" s="433"/>
      <c r="F128" s="433"/>
      <c r="G128" s="433"/>
    </row>
    <row r="129" spans="1:7">
      <c r="A129" s="432"/>
      <c r="B129" s="433"/>
      <c r="C129" s="433"/>
      <c r="D129" s="438"/>
      <c r="E129" s="433"/>
      <c r="F129" s="433"/>
      <c r="G129" s="433"/>
    </row>
    <row r="130" spans="1:7">
      <c r="A130" s="433"/>
      <c r="B130" s="433"/>
      <c r="C130" s="433"/>
      <c r="D130" s="433"/>
      <c r="E130" s="433"/>
      <c r="F130" s="433"/>
      <c r="G130" s="433"/>
    </row>
    <row r="131" spans="1:7">
      <c r="A131" s="432"/>
      <c r="B131" s="433"/>
      <c r="C131" s="433"/>
      <c r="D131" s="438"/>
      <c r="E131" s="433"/>
      <c r="F131" s="433"/>
      <c r="G131" s="433"/>
    </row>
    <row r="132" spans="1:7">
      <c r="A132" s="432"/>
      <c r="B132" s="433"/>
      <c r="C132" s="433"/>
      <c r="D132" s="438"/>
      <c r="E132" s="433"/>
      <c r="F132" s="433"/>
      <c r="G132" s="433"/>
    </row>
    <row r="133" spans="1:7">
      <c r="A133" s="432"/>
      <c r="B133" s="433"/>
      <c r="C133" s="433"/>
      <c r="D133" s="433"/>
      <c r="E133" s="433"/>
      <c r="F133" s="433"/>
      <c r="G133" s="433"/>
    </row>
    <row r="134" spans="1:7">
      <c r="A134" s="433"/>
      <c r="B134" s="433"/>
      <c r="C134" s="433"/>
      <c r="D134" s="433"/>
      <c r="E134" s="433"/>
      <c r="F134" s="433"/>
      <c r="G134" s="433"/>
    </row>
  </sheetData>
  <sheetProtection password="C688" sheet="1" formatRows="0" selectLockedCells="1" selectUnlockedCells="1"/>
  <mergeCells count="2">
    <mergeCell ref="A1:H1"/>
    <mergeCell ref="A2:H2"/>
  </mergeCells>
  <pageMargins left="0.75" right="0.75" top="0.37" bottom="0.55000000000000004" header="0.33" footer="0.5"/>
  <pageSetup scale="70" orientation="portrait" horizontalDpi="300" verticalDpi="300" r:id="rId1"/>
  <headerFooter alignWithMargins="0">
    <oddFooter>&amp;L&amp;5&amp;D &amp;T rg Z:\Benefits\benefits model\FY07\FY07 fall final.xls  tab:  &amp;A</oddFooter>
  </headerFooter>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64"/>
  <sheetViews>
    <sheetView zoomScale="75" workbookViewId="0">
      <selection sqref="A1:H1"/>
    </sheetView>
  </sheetViews>
  <sheetFormatPr defaultColWidth="9.28515625" defaultRowHeight="15"/>
  <cols>
    <col min="1" max="1" width="4.140625" style="499" customWidth="1"/>
    <col min="2" max="2" width="12" style="499" customWidth="1"/>
    <col min="3" max="3" width="0" style="499" hidden="1" customWidth="1"/>
    <col min="4" max="4" width="20" style="499" customWidth="1"/>
    <col min="5" max="5" width="3.5703125" style="499" customWidth="1"/>
    <col min="6" max="6" width="0" style="499" hidden="1" customWidth="1"/>
    <col min="7" max="7" width="13.140625" style="499" customWidth="1"/>
    <col min="8" max="12" width="11.42578125" style="499" customWidth="1"/>
    <col min="13" max="13" width="13.28515625" style="499" customWidth="1"/>
    <col min="14" max="16384" width="9.28515625" style="38"/>
  </cols>
  <sheetData>
    <row r="1" spans="1:13" s="535" customFormat="1" ht="15.75">
      <c r="A1" s="536"/>
      <c r="B1" s="537" t="s">
        <v>485</v>
      </c>
      <c r="C1" s="538"/>
      <c r="D1" s="442"/>
      <c r="E1" s="442"/>
      <c r="F1" s="442"/>
      <c r="G1" s="442"/>
      <c r="H1" s="538"/>
      <c r="I1" s="538"/>
      <c r="J1" s="442"/>
      <c r="K1" s="442"/>
      <c r="L1" s="442"/>
      <c r="M1" s="539"/>
    </row>
    <row r="2" spans="1:13">
      <c r="A2" s="443"/>
      <c r="B2" s="444" t="s">
        <v>370</v>
      </c>
      <c r="C2" s="445"/>
      <c r="D2" s="445"/>
      <c r="E2" s="445"/>
      <c r="F2" s="445"/>
      <c r="G2" s="445"/>
      <c r="H2" s="441"/>
      <c r="I2" s="441"/>
      <c r="J2" s="445"/>
      <c r="K2" s="445"/>
      <c r="L2" s="445"/>
      <c r="M2" s="445"/>
    </row>
    <row r="3" spans="1:13" ht="12.75">
      <c r="A3" s="443"/>
      <c r="B3" s="443"/>
      <c r="C3" s="443"/>
      <c r="D3" s="443"/>
      <c r="E3" s="443"/>
      <c r="F3" s="443"/>
      <c r="G3" s="443"/>
      <c r="H3" s="443"/>
      <c r="I3" s="443"/>
      <c r="J3" s="443"/>
      <c r="K3" s="443"/>
      <c r="L3" s="443"/>
      <c r="M3" s="443"/>
    </row>
    <row r="4" spans="1:13" ht="12.75">
      <c r="A4" s="446"/>
      <c r="B4" s="447" t="s">
        <v>371</v>
      </c>
      <c r="C4" s="448"/>
      <c r="D4" s="449"/>
      <c r="E4" s="448"/>
      <c r="F4" s="448"/>
      <c r="G4" s="448"/>
      <c r="H4" s="450"/>
      <c r="I4" s="450"/>
      <c r="J4" s="450"/>
      <c r="K4" s="451"/>
      <c r="L4" s="452" t="s">
        <v>372</v>
      </c>
      <c r="M4" s="453" t="s">
        <v>373</v>
      </c>
    </row>
    <row r="5" spans="1:13">
      <c r="A5" s="446"/>
      <c r="B5" s="454" t="s">
        <v>374</v>
      </c>
      <c r="C5" s="455"/>
      <c r="D5" s="456" t="s">
        <v>375</v>
      </c>
      <c r="E5" s="457" t="s">
        <v>108</v>
      </c>
      <c r="F5" s="458"/>
      <c r="G5" s="459"/>
      <c r="H5" s="460" t="s">
        <v>376</v>
      </c>
      <c r="I5" s="460" t="s">
        <v>105</v>
      </c>
      <c r="J5" s="460" t="s">
        <v>160</v>
      </c>
      <c r="K5" s="460" t="s">
        <v>377</v>
      </c>
      <c r="L5" s="460" t="s">
        <v>378</v>
      </c>
      <c r="M5" s="461" t="s">
        <v>378</v>
      </c>
    </row>
    <row r="6" spans="1:13" ht="12.75">
      <c r="A6" s="462"/>
      <c r="B6" s="463"/>
      <c r="C6" s="443"/>
      <c r="D6" s="464"/>
      <c r="E6" s="443"/>
      <c r="F6" s="443"/>
      <c r="G6" s="443"/>
      <c r="H6" s="465"/>
      <c r="I6" s="465"/>
      <c r="J6" s="465"/>
      <c r="K6" s="466"/>
      <c r="L6" s="466"/>
      <c r="M6" s="467"/>
    </row>
    <row r="7" spans="1:13" ht="15.75">
      <c r="A7" s="468" t="s">
        <v>379</v>
      </c>
      <c r="B7" s="469" t="s">
        <v>380</v>
      </c>
      <c r="C7" s="443"/>
      <c r="D7" s="470" t="s">
        <v>486</v>
      </c>
      <c r="E7" s="471" t="s">
        <v>382</v>
      </c>
      <c r="F7" s="443"/>
      <c r="G7" s="443"/>
      <c r="H7" s="472" t="s">
        <v>25</v>
      </c>
      <c r="I7" s="472" t="s">
        <v>25</v>
      </c>
      <c r="J7" s="472" t="s">
        <v>25</v>
      </c>
      <c r="K7" s="466"/>
      <c r="L7" s="466"/>
      <c r="M7" s="473" t="s">
        <v>25</v>
      </c>
    </row>
    <row r="8" spans="1:13" ht="15.75">
      <c r="A8" s="468" t="s">
        <v>383</v>
      </c>
      <c r="B8" s="474" t="s">
        <v>384</v>
      </c>
      <c r="C8" s="475"/>
      <c r="D8" s="476" t="s">
        <v>385</v>
      </c>
      <c r="E8" s="477" t="s">
        <v>386</v>
      </c>
      <c r="F8" s="475"/>
      <c r="G8" s="475"/>
      <c r="H8" s="478" t="s">
        <v>25</v>
      </c>
      <c r="I8" s="478" t="s">
        <v>25</v>
      </c>
      <c r="J8" s="478" t="s">
        <v>25</v>
      </c>
      <c r="K8" s="479"/>
      <c r="L8" s="479"/>
      <c r="M8" s="480"/>
    </row>
    <row r="9" spans="1:13" ht="15.75">
      <c r="A9" s="468" t="s">
        <v>383</v>
      </c>
      <c r="B9" s="469" t="s">
        <v>387</v>
      </c>
      <c r="C9" s="443"/>
      <c r="D9" s="481" t="s">
        <v>388</v>
      </c>
      <c r="E9" s="471" t="s">
        <v>389</v>
      </c>
      <c r="F9" s="443"/>
      <c r="G9" s="443"/>
      <c r="H9" s="472" t="s">
        <v>25</v>
      </c>
      <c r="I9" s="472" t="s">
        <v>25</v>
      </c>
      <c r="J9" s="472" t="s">
        <v>25</v>
      </c>
      <c r="K9" s="466"/>
      <c r="L9" s="466"/>
      <c r="M9" s="473"/>
    </row>
    <row r="10" spans="1:13" ht="15.75">
      <c r="A10" s="468" t="s">
        <v>383</v>
      </c>
      <c r="B10" s="474" t="s">
        <v>390</v>
      </c>
      <c r="C10" s="475"/>
      <c r="D10" s="476" t="s">
        <v>391</v>
      </c>
      <c r="E10" s="477" t="s">
        <v>392</v>
      </c>
      <c r="F10" s="475"/>
      <c r="G10" s="475"/>
      <c r="H10" s="478" t="s">
        <v>25</v>
      </c>
      <c r="I10" s="478" t="s">
        <v>25</v>
      </c>
      <c r="J10" s="478" t="s">
        <v>25</v>
      </c>
      <c r="K10" s="479"/>
      <c r="L10" s="479"/>
      <c r="M10" s="480"/>
    </row>
    <row r="11" spans="1:13" ht="15.75">
      <c r="A11" s="468">
        <v>3</v>
      </c>
      <c r="B11" s="469" t="s">
        <v>393</v>
      </c>
      <c r="C11" s="443"/>
      <c r="D11" s="481" t="s">
        <v>394</v>
      </c>
      <c r="E11" s="471" t="s">
        <v>487</v>
      </c>
      <c r="F11" s="443"/>
      <c r="G11" s="443"/>
      <c r="H11" s="472" t="s">
        <v>25</v>
      </c>
      <c r="I11" s="472" t="s">
        <v>25</v>
      </c>
      <c r="J11" s="472" t="s">
        <v>25</v>
      </c>
      <c r="K11" s="466"/>
      <c r="L11" s="466"/>
      <c r="M11" s="473"/>
    </row>
    <row r="12" spans="1:13" ht="15.75">
      <c r="A12" s="468">
        <v>3</v>
      </c>
      <c r="B12" s="474" t="s">
        <v>396</v>
      </c>
      <c r="C12" s="475"/>
      <c r="D12" s="476" t="s">
        <v>397</v>
      </c>
      <c r="E12" s="477" t="s">
        <v>488</v>
      </c>
      <c r="F12" s="475"/>
      <c r="G12" s="475"/>
      <c r="H12" s="478" t="s">
        <v>25</v>
      </c>
      <c r="I12" s="478" t="s">
        <v>25</v>
      </c>
      <c r="J12" s="478" t="s">
        <v>25</v>
      </c>
      <c r="K12" s="479"/>
      <c r="L12" s="479"/>
      <c r="M12" s="480"/>
    </row>
    <row r="13" spans="1:13" ht="15.75">
      <c r="A13" s="468">
        <v>3</v>
      </c>
      <c r="B13" s="469" t="s">
        <v>399</v>
      </c>
      <c r="C13" s="443"/>
      <c r="D13" s="481" t="s">
        <v>400</v>
      </c>
      <c r="E13" s="482" t="s">
        <v>488</v>
      </c>
      <c r="F13" s="443"/>
      <c r="G13" s="443"/>
      <c r="H13" s="472" t="s">
        <v>25</v>
      </c>
      <c r="I13" s="472" t="s">
        <v>25</v>
      </c>
      <c r="J13" s="472" t="s">
        <v>25</v>
      </c>
      <c r="K13" s="466"/>
      <c r="L13" s="466"/>
      <c r="M13" s="473"/>
    </row>
    <row r="14" spans="1:13" ht="15.75">
      <c r="A14" s="468">
        <v>4</v>
      </c>
      <c r="B14" s="474" t="s">
        <v>401</v>
      </c>
      <c r="C14" s="475"/>
      <c r="D14" s="476" t="s">
        <v>402</v>
      </c>
      <c r="E14" s="477" t="s">
        <v>489</v>
      </c>
      <c r="F14" s="475"/>
      <c r="G14" s="475"/>
      <c r="H14" s="478" t="s">
        <v>25</v>
      </c>
      <c r="I14" s="478" t="s">
        <v>25</v>
      </c>
      <c r="J14" s="478" t="s">
        <v>25</v>
      </c>
      <c r="K14" s="479" t="s">
        <v>25</v>
      </c>
      <c r="L14" s="479" t="s">
        <v>25</v>
      </c>
      <c r="M14" s="480" t="s">
        <v>25</v>
      </c>
    </row>
    <row r="15" spans="1:13" ht="15.75">
      <c r="A15" s="468">
        <v>5</v>
      </c>
      <c r="B15" s="469" t="s">
        <v>404</v>
      </c>
      <c r="C15" s="443"/>
      <c r="D15" s="481" t="s">
        <v>405</v>
      </c>
      <c r="E15" s="471" t="s">
        <v>490</v>
      </c>
      <c r="F15" s="443"/>
      <c r="G15" s="443"/>
      <c r="H15" s="472" t="s">
        <v>25</v>
      </c>
      <c r="I15" s="472" t="s">
        <v>25</v>
      </c>
      <c r="J15" s="472" t="s">
        <v>25</v>
      </c>
      <c r="K15" s="466"/>
      <c r="L15" s="466"/>
      <c r="M15" s="473"/>
    </row>
    <row r="16" spans="1:13" ht="15.75">
      <c r="A16" s="468">
        <v>5</v>
      </c>
      <c r="B16" s="474" t="s">
        <v>407</v>
      </c>
      <c r="C16" s="475"/>
      <c r="D16" s="476" t="s">
        <v>408</v>
      </c>
      <c r="E16" s="477" t="s">
        <v>491</v>
      </c>
      <c r="F16" s="475"/>
      <c r="G16" s="475"/>
      <c r="H16" s="478" t="s">
        <v>25</v>
      </c>
      <c r="I16" s="478" t="s">
        <v>25</v>
      </c>
      <c r="J16" s="478" t="s">
        <v>25</v>
      </c>
      <c r="K16" s="479"/>
      <c r="L16" s="479"/>
      <c r="M16" s="480"/>
    </row>
    <row r="17" spans="1:13" ht="16.149999999999999" customHeight="1">
      <c r="A17" s="483">
        <v>10</v>
      </c>
      <c r="B17" s="469" t="s">
        <v>410</v>
      </c>
      <c r="C17" s="443"/>
      <c r="D17" s="481" t="s">
        <v>411</v>
      </c>
      <c r="E17" s="471" t="s">
        <v>412</v>
      </c>
      <c r="F17" s="443"/>
      <c r="G17" s="443"/>
      <c r="H17" s="472" t="s">
        <v>25</v>
      </c>
      <c r="I17" s="472" t="s">
        <v>25</v>
      </c>
      <c r="J17" s="472" t="s">
        <v>25</v>
      </c>
      <c r="K17" s="466"/>
      <c r="L17" s="466"/>
      <c r="M17" s="473" t="s">
        <v>25</v>
      </c>
    </row>
    <row r="18" spans="1:13" ht="15.75">
      <c r="A18" s="483"/>
      <c r="B18" s="474" t="s">
        <v>413</v>
      </c>
      <c r="C18" s="475"/>
      <c r="D18" s="476" t="s">
        <v>414</v>
      </c>
      <c r="E18" s="484" t="s">
        <v>415</v>
      </c>
      <c r="F18" s="475"/>
      <c r="G18" s="475"/>
      <c r="H18" s="478" t="s">
        <v>25</v>
      </c>
      <c r="I18" s="478"/>
      <c r="J18" s="478"/>
      <c r="K18" s="479"/>
      <c r="L18" s="479"/>
      <c r="M18" s="480"/>
    </row>
    <row r="19" spans="1:13" ht="16.149999999999999" customHeight="1">
      <c r="A19" s="483">
        <v>6</v>
      </c>
      <c r="B19" s="469" t="s">
        <v>416</v>
      </c>
      <c r="C19" s="443"/>
      <c r="D19" s="481" t="s">
        <v>394</v>
      </c>
      <c r="E19" s="471" t="s">
        <v>488</v>
      </c>
      <c r="F19" s="443"/>
      <c r="G19" s="443"/>
      <c r="H19" s="472"/>
      <c r="I19" s="472"/>
      <c r="J19" s="472"/>
      <c r="K19" s="466"/>
      <c r="L19" s="466"/>
      <c r="M19" s="473" t="s">
        <v>25</v>
      </c>
    </row>
    <row r="20" spans="1:13" ht="15.75">
      <c r="A20" s="483">
        <v>6</v>
      </c>
      <c r="B20" s="474" t="s">
        <v>417</v>
      </c>
      <c r="C20" s="475"/>
      <c r="D20" s="476" t="s">
        <v>397</v>
      </c>
      <c r="E20" s="477" t="s">
        <v>487</v>
      </c>
      <c r="F20" s="475"/>
      <c r="G20" s="475"/>
      <c r="H20" s="478"/>
      <c r="I20" s="478"/>
      <c r="J20" s="478"/>
      <c r="K20" s="479"/>
      <c r="L20" s="479"/>
      <c r="M20" s="480" t="s">
        <v>25</v>
      </c>
    </row>
    <row r="21" spans="1:13" ht="15.75">
      <c r="A21" s="468" t="s">
        <v>418</v>
      </c>
      <c r="B21" s="469" t="s">
        <v>419</v>
      </c>
      <c r="C21" s="443"/>
      <c r="D21" s="481" t="s">
        <v>420</v>
      </c>
      <c r="E21" s="471" t="s">
        <v>492</v>
      </c>
      <c r="F21" s="443"/>
      <c r="G21" s="443"/>
      <c r="H21" s="472" t="s">
        <v>25</v>
      </c>
      <c r="I21" s="472" t="s">
        <v>25</v>
      </c>
      <c r="J21" s="472" t="s">
        <v>25</v>
      </c>
      <c r="K21" s="466"/>
      <c r="L21" s="466"/>
      <c r="M21" s="473" t="s">
        <v>25</v>
      </c>
    </row>
    <row r="22" spans="1:13" ht="15.75">
      <c r="A22" s="468" t="s">
        <v>422</v>
      </c>
      <c r="B22" s="474" t="s">
        <v>423</v>
      </c>
      <c r="C22" s="475"/>
      <c r="D22" s="476" t="s">
        <v>424</v>
      </c>
      <c r="E22" s="477" t="s">
        <v>425</v>
      </c>
      <c r="F22" s="475"/>
      <c r="G22" s="475"/>
      <c r="H22" s="478" t="s">
        <v>25</v>
      </c>
      <c r="I22" s="478" t="s">
        <v>25</v>
      </c>
      <c r="J22" s="478" t="s">
        <v>25</v>
      </c>
      <c r="K22" s="479"/>
      <c r="L22" s="479"/>
      <c r="M22" s="480"/>
    </row>
    <row r="23" spans="1:13" ht="25.5" hidden="1">
      <c r="A23" s="468" t="s">
        <v>422</v>
      </c>
      <c r="B23" s="469" t="s">
        <v>423</v>
      </c>
      <c r="C23" s="443"/>
      <c r="D23" s="485" t="s">
        <v>426</v>
      </c>
      <c r="E23" s="471" t="s">
        <v>427</v>
      </c>
      <c r="F23" s="443"/>
      <c r="G23" s="443"/>
      <c r="H23" s="472" t="s">
        <v>25</v>
      </c>
      <c r="I23" s="472"/>
      <c r="J23" s="472"/>
      <c r="K23" s="466"/>
      <c r="L23" s="466"/>
      <c r="M23" s="473"/>
    </row>
    <row r="24" spans="1:13" ht="15.75">
      <c r="A24" s="468"/>
      <c r="B24" s="469" t="s">
        <v>428</v>
      </c>
      <c r="C24" s="486"/>
      <c r="D24" s="481" t="s">
        <v>429</v>
      </c>
      <c r="E24" s="471" t="s">
        <v>493</v>
      </c>
      <c r="F24" s="443"/>
      <c r="G24" s="443"/>
      <c r="H24" s="487"/>
      <c r="I24" s="487"/>
      <c r="J24" s="487"/>
      <c r="K24" s="488" t="s">
        <v>25</v>
      </c>
      <c r="L24" s="488"/>
      <c r="M24" s="489"/>
    </row>
    <row r="25" spans="1:13" ht="15.75">
      <c r="A25" s="468">
        <v>9</v>
      </c>
      <c r="B25" s="474" t="s">
        <v>431</v>
      </c>
      <c r="C25" s="475"/>
      <c r="D25" s="476" t="s">
        <v>424</v>
      </c>
      <c r="E25" s="484" t="s">
        <v>494</v>
      </c>
      <c r="F25" s="475"/>
      <c r="G25" s="475"/>
      <c r="H25" s="478"/>
      <c r="I25" s="478"/>
      <c r="J25" s="478"/>
      <c r="K25" s="479"/>
      <c r="L25" s="479"/>
      <c r="M25" s="480" t="s">
        <v>25</v>
      </c>
    </row>
    <row r="26" spans="1:13" ht="15.75">
      <c r="A26" s="468"/>
      <c r="B26" s="490" t="s">
        <v>495</v>
      </c>
      <c r="C26" s="491"/>
      <c r="D26" s="492" t="s">
        <v>496</v>
      </c>
      <c r="E26" s="493" t="s">
        <v>497</v>
      </c>
      <c r="F26" s="491"/>
      <c r="G26" s="491"/>
      <c r="H26" s="494"/>
      <c r="I26" s="494"/>
      <c r="J26" s="494"/>
      <c r="K26" s="495" t="s">
        <v>25</v>
      </c>
      <c r="L26" s="496"/>
      <c r="M26" s="497"/>
    </row>
    <row r="27" spans="1:13">
      <c r="A27" s="498"/>
    </row>
    <row r="28" spans="1:13" ht="15.75">
      <c r="A28" s="500"/>
      <c r="B28" s="501"/>
      <c r="C28" s="443"/>
      <c r="D28" s="443"/>
      <c r="E28" s="502" t="s">
        <v>432</v>
      </c>
      <c r="F28" s="503"/>
      <c r="G28" s="503"/>
      <c r="H28" s="503"/>
      <c r="I28" s="503"/>
      <c r="J28" s="503"/>
      <c r="K28" s="504"/>
      <c r="L28" s="443"/>
      <c r="M28" s="443"/>
    </row>
    <row r="29" spans="1:13" ht="15.75">
      <c r="A29" s="500"/>
      <c r="B29" s="501"/>
      <c r="C29" s="501"/>
      <c r="D29" s="501"/>
      <c r="E29" s="505"/>
      <c r="F29" s="506"/>
      <c r="G29" s="506"/>
      <c r="H29" s="507"/>
      <c r="I29" s="508"/>
      <c r="J29" s="506"/>
      <c r="K29" s="509" t="s">
        <v>433</v>
      </c>
      <c r="L29" s="443"/>
      <c r="M29" s="443"/>
    </row>
    <row r="30" spans="1:13" ht="15.75">
      <c r="A30" s="500"/>
      <c r="B30" s="501"/>
      <c r="C30" s="501"/>
      <c r="D30" s="501"/>
      <c r="E30" s="510" t="s">
        <v>434</v>
      </c>
      <c r="F30" s="511"/>
      <c r="G30" s="511"/>
      <c r="H30" s="512" t="s">
        <v>435</v>
      </c>
      <c r="I30" s="508"/>
      <c r="J30" s="506"/>
      <c r="K30" s="513" t="s">
        <v>436</v>
      </c>
      <c r="L30" s="443"/>
      <c r="M30" s="443"/>
    </row>
    <row r="31" spans="1:13" ht="15.75">
      <c r="A31" s="500"/>
      <c r="B31" s="501"/>
      <c r="C31" s="501"/>
      <c r="D31" s="501"/>
      <c r="E31" s="514" t="s">
        <v>437</v>
      </c>
      <c r="F31" s="506"/>
      <c r="G31" s="506"/>
      <c r="H31" s="507" t="s">
        <v>498</v>
      </c>
      <c r="I31" s="508"/>
      <c r="J31" s="506"/>
      <c r="K31" s="515">
        <v>7.5061217819889142E-2</v>
      </c>
      <c r="L31" s="443"/>
      <c r="M31" s="443"/>
    </row>
    <row r="32" spans="1:13" ht="15.75">
      <c r="A32" s="500"/>
      <c r="B32" s="501"/>
      <c r="C32" s="501"/>
      <c r="D32" s="501"/>
      <c r="E32" s="516" t="s">
        <v>439</v>
      </c>
      <c r="F32" s="506"/>
      <c r="G32" s="506"/>
      <c r="H32" s="507" t="s">
        <v>440</v>
      </c>
      <c r="I32" s="508"/>
      <c r="J32" s="506"/>
      <c r="K32" s="515">
        <v>7.6864115801470873E-2</v>
      </c>
      <c r="L32" s="443"/>
      <c r="M32" s="443"/>
    </row>
    <row r="33" spans="1:13" ht="15.75">
      <c r="A33" s="500"/>
      <c r="B33" s="501"/>
      <c r="C33" s="501"/>
      <c r="D33" s="501"/>
      <c r="E33" s="517" t="s">
        <v>105</v>
      </c>
      <c r="F33" s="518"/>
      <c r="G33" s="518"/>
      <c r="H33" s="519" t="s">
        <v>440</v>
      </c>
      <c r="I33" s="520"/>
      <c r="J33" s="518"/>
      <c r="K33" s="521">
        <v>8.1538888356969291E-2</v>
      </c>
      <c r="L33" s="443"/>
      <c r="M33" s="443"/>
    </row>
    <row r="34" spans="1:13" ht="15.75">
      <c r="A34" s="522"/>
      <c r="B34" s="523"/>
      <c r="C34" s="491"/>
      <c r="D34" s="491"/>
      <c r="E34" s="491"/>
      <c r="F34" s="491"/>
      <c r="G34" s="491"/>
      <c r="H34" s="491"/>
      <c r="I34" s="491"/>
      <c r="J34" s="491"/>
      <c r="K34" s="491"/>
      <c r="L34" s="491"/>
      <c r="M34" s="491"/>
    </row>
    <row r="35" spans="1:13" ht="12.75">
      <c r="A35" s="443" t="s">
        <v>441</v>
      </c>
      <c r="B35" s="443"/>
      <c r="C35" s="443"/>
      <c r="D35" s="443"/>
      <c r="E35" s="443"/>
      <c r="F35" s="443"/>
      <c r="G35" s="443"/>
      <c r="H35" s="443"/>
      <c r="I35" s="443"/>
      <c r="J35" s="443"/>
      <c r="K35" s="443"/>
      <c r="L35" s="443"/>
      <c r="M35" s="443"/>
    </row>
    <row r="36" spans="1:13" ht="15.75">
      <c r="A36" s="483">
        <v>1</v>
      </c>
      <c r="B36" s="482" t="s">
        <v>477</v>
      </c>
      <c r="C36" s="443"/>
      <c r="D36" s="443"/>
      <c r="E36" s="443"/>
      <c r="F36" s="443"/>
      <c r="G36" s="443"/>
      <c r="H36" s="443"/>
      <c r="I36" s="443"/>
      <c r="J36" s="443"/>
      <c r="K36" s="443"/>
      <c r="L36" s="443"/>
      <c r="M36" s="443"/>
    </row>
    <row r="37" spans="1:13" ht="15.75">
      <c r="A37" s="483">
        <v>2</v>
      </c>
      <c r="B37" s="471" t="s">
        <v>442</v>
      </c>
      <c r="C37" s="524"/>
      <c r="D37" s="524"/>
      <c r="E37" s="524"/>
      <c r="F37" s="524"/>
      <c r="G37" s="524"/>
      <c r="H37" s="524"/>
      <c r="I37" s="524"/>
      <c r="J37" s="524"/>
      <c r="K37" s="524"/>
      <c r="L37" s="524"/>
      <c r="M37" s="524"/>
    </row>
    <row r="38" spans="1:13" ht="15.75">
      <c r="A38" s="500"/>
      <c r="B38" s="471" t="s">
        <v>443</v>
      </c>
      <c r="C38" s="524"/>
      <c r="D38" s="524"/>
      <c r="E38" s="524"/>
      <c r="F38" s="524"/>
      <c r="G38" s="524"/>
      <c r="H38" s="524"/>
      <c r="I38" s="524"/>
      <c r="J38" s="524"/>
      <c r="K38" s="524"/>
      <c r="L38" s="524"/>
      <c r="M38" s="524"/>
    </row>
    <row r="39" spans="1:13" ht="15.75">
      <c r="A39" s="500"/>
      <c r="B39" s="471" t="s">
        <v>444</v>
      </c>
      <c r="C39" s="524"/>
      <c r="D39" s="524"/>
      <c r="E39" s="524"/>
      <c r="F39" s="524"/>
      <c r="G39" s="524"/>
      <c r="H39" s="524"/>
      <c r="I39" s="524"/>
      <c r="J39" s="524"/>
      <c r="K39" s="524"/>
      <c r="L39" s="524"/>
      <c r="M39" s="524"/>
    </row>
    <row r="40" spans="1:13" ht="15.75">
      <c r="A40" s="500"/>
      <c r="B40" s="471" t="s">
        <v>445</v>
      </c>
      <c r="C40" s="524"/>
      <c r="D40" s="524"/>
      <c r="E40" s="524"/>
      <c r="F40" s="524"/>
      <c r="G40" s="524"/>
      <c r="H40" s="524"/>
      <c r="I40" s="524"/>
      <c r="J40" s="524"/>
      <c r="K40" s="524"/>
      <c r="L40" s="524"/>
      <c r="M40" s="524"/>
    </row>
    <row r="41" spans="1:13" ht="15.75">
      <c r="A41" s="483">
        <v>3</v>
      </c>
      <c r="B41" s="471" t="s">
        <v>499</v>
      </c>
      <c r="C41" s="525"/>
      <c r="D41" s="525"/>
      <c r="E41" s="525"/>
      <c r="F41" s="525"/>
      <c r="G41" s="525"/>
      <c r="H41" s="525"/>
      <c r="I41" s="525"/>
      <c r="J41" s="525"/>
      <c r="K41" s="525"/>
      <c r="L41" s="525"/>
      <c r="M41" s="525"/>
    </row>
    <row r="42" spans="1:13" ht="15.75">
      <c r="A42" s="483">
        <v>4</v>
      </c>
      <c r="B42" s="482" t="s">
        <v>500</v>
      </c>
      <c r="C42" s="525"/>
      <c r="D42" s="525"/>
      <c r="E42" s="525"/>
      <c r="F42" s="525"/>
      <c r="G42" s="525"/>
      <c r="H42" s="525"/>
      <c r="I42" s="525"/>
      <c r="J42" s="525"/>
      <c r="K42" s="525"/>
      <c r="L42" s="525"/>
      <c r="M42" s="525"/>
    </row>
    <row r="43" spans="1:13" ht="15.75">
      <c r="A43" s="500"/>
      <c r="B43" s="482" t="s">
        <v>501</v>
      </c>
      <c r="C43" s="525"/>
      <c r="D43" s="525"/>
      <c r="E43" s="525"/>
      <c r="F43" s="525"/>
      <c r="G43" s="525"/>
      <c r="H43" s="525"/>
      <c r="I43" s="525"/>
      <c r="J43" s="525"/>
      <c r="K43" s="525"/>
      <c r="L43" s="525"/>
      <c r="M43" s="525"/>
    </row>
    <row r="44" spans="1:13" ht="15.75">
      <c r="A44" s="500"/>
      <c r="B44" s="482" t="s">
        <v>502</v>
      </c>
      <c r="C44" s="525"/>
      <c r="D44" s="525"/>
      <c r="E44" s="525"/>
      <c r="F44" s="525"/>
      <c r="G44" s="525"/>
      <c r="H44" s="525"/>
      <c r="I44" s="525"/>
      <c r="J44" s="525"/>
      <c r="K44" s="525"/>
      <c r="L44" s="525"/>
      <c r="M44" s="525"/>
    </row>
    <row r="45" spans="1:13" ht="15.75">
      <c r="A45" s="500">
        <v>5</v>
      </c>
      <c r="B45" s="443" t="s">
        <v>450</v>
      </c>
      <c r="C45" s="525"/>
      <c r="D45" s="525"/>
      <c r="E45" s="525"/>
      <c r="F45" s="525"/>
      <c r="G45" s="525"/>
      <c r="H45" s="525"/>
      <c r="I45" s="525"/>
      <c r="J45" s="525"/>
      <c r="K45" s="525"/>
      <c r="L45" s="525"/>
      <c r="M45" s="525"/>
    </row>
    <row r="46" spans="1:13" ht="15.75">
      <c r="A46" s="500"/>
      <c r="B46" s="443" t="s">
        <v>451</v>
      </c>
      <c r="C46" s="525"/>
      <c r="D46" s="525"/>
      <c r="E46" s="525"/>
      <c r="F46" s="525"/>
      <c r="G46" s="525"/>
      <c r="H46" s="525"/>
      <c r="I46" s="525"/>
      <c r="J46" s="525"/>
      <c r="K46" s="525"/>
      <c r="L46" s="525"/>
      <c r="M46" s="525"/>
    </row>
    <row r="47" spans="1:13" ht="15.75">
      <c r="A47" s="483">
        <v>6</v>
      </c>
      <c r="B47" s="471" t="s">
        <v>452</v>
      </c>
      <c r="C47" s="525"/>
      <c r="D47" s="525"/>
      <c r="E47" s="525"/>
      <c r="F47" s="525"/>
      <c r="G47" s="525"/>
      <c r="H47" s="525"/>
      <c r="I47" s="525"/>
      <c r="J47" s="525"/>
      <c r="K47" s="525"/>
      <c r="L47" s="525"/>
      <c r="M47" s="525"/>
    </row>
    <row r="48" spans="1:13" ht="15.75">
      <c r="A48" s="500"/>
      <c r="B48" s="526" t="s">
        <v>453</v>
      </c>
      <c r="C48" s="525"/>
      <c r="D48" s="525"/>
      <c r="E48" s="525"/>
      <c r="F48" s="525"/>
      <c r="G48" s="525"/>
      <c r="H48" s="525"/>
      <c r="I48" s="525"/>
      <c r="J48" s="525"/>
      <c r="K48" s="525"/>
      <c r="L48" s="525"/>
      <c r="M48" s="525"/>
    </row>
    <row r="49" spans="1:13" ht="15.75">
      <c r="A49" s="500">
        <v>7</v>
      </c>
      <c r="B49" s="471" t="s">
        <v>503</v>
      </c>
      <c r="C49" s="525"/>
      <c r="D49" s="525"/>
      <c r="E49" s="525"/>
      <c r="F49" s="525"/>
      <c r="G49" s="525"/>
      <c r="H49" s="525"/>
      <c r="I49" s="525"/>
      <c r="J49" s="525"/>
      <c r="K49" s="525"/>
      <c r="L49" s="525"/>
      <c r="M49" s="525"/>
    </row>
    <row r="50" spans="1:13" ht="15.75">
      <c r="A50" s="500"/>
      <c r="B50" s="471" t="s">
        <v>504</v>
      </c>
      <c r="C50" s="525"/>
      <c r="D50" s="525"/>
      <c r="E50" s="525"/>
      <c r="F50" s="525"/>
      <c r="G50" s="525"/>
      <c r="H50" s="525"/>
      <c r="I50" s="525"/>
      <c r="J50" s="525"/>
      <c r="K50" s="525"/>
      <c r="L50" s="525"/>
      <c r="M50" s="525"/>
    </row>
    <row r="51" spans="1:13" ht="15.75">
      <c r="A51" s="483">
        <v>8</v>
      </c>
      <c r="B51" s="482" t="s">
        <v>456</v>
      </c>
      <c r="C51" s="525"/>
      <c r="D51" s="525"/>
      <c r="E51" s="525"/>
      <c r="F51" s="525"/>
      <c r="G51" s="525"/>
      <c r="H51" s="525"/>
      <c r="I51" s="525"/>
      <c r="J51" s="525"/>
      <c r="K51" s="525"/>
      <c r="L51" s="525"/>
      <c r="M51" s="525"/>
    </row>
    <row r="52" spans="1:13" ht="12.75">
      <c r="A52" s="443"/>
      <c r="B52" s="482" t="s">
        <v>457</v>
      </c>
      <c r="C52" s="525"/>
      <c r="D52" s="525"/>
      <c r="E52" s="525"/>
      <c r="F52" s="525"/>
      <c r="G52" s="525"/>
      <c r="H52" s="525"/>
      <c r="I52" s="525"/>
      <c r="J52" s="525"/>
      <c r="K52" s="525"/>
      <c r="L52" s="525"/>
      <c r="M52" s="525"/>
    </row>
    <row r="53" spans="1:13" ht="15.75">
      <c r="A53" s="500">
        <v>9</v>
      </c>
      <c r="B53" s="482" t="s">
        <v>458</v>
      </c>
      <c r="C53" s="525"/>
      <c r="D53" s="525"/>
      <c r="E53" s="525"/>
      <c r="F53" s="525"/>
      <c r="G53" s="525"/>
      <c r="H53" s="525"/>
      <c r="I53" s="525"/>
      <c r="J53" s="525"/>
      <c r="K53" s="525"/>
      <c r="L53" s="525"/>
      <c r="M53" s="525"/>
    </row>
    <row r="54" spans="1:13" ht="15.75">
      <c r="A54" s="500"/>
      <c r="B54" s="482" t="s">
        <v>459</v>
      </c>
      <c r="C54" s="525"/>
      <c r="D54" s="525"/>
      <c r="E54" s="525"/>
      <c r="F54" s="525"/>
      <c r="G54" s="525"/>
      <c r="H54" s="525"/>
      <c r="I54" s="525"/>
      <c r="J54" s="525"/>
      <c r="K54" s="525"/>
      <c r="L54" s="525"/>
      <c r="M54" s="525"/>
    </row>
    <row r="55" spans="1:13" ht="15.75">
      <c r="A55" s="500"/>
      <c r="B55" s="482" t="s">
        <v>460</v>
      </c>
      <c r="C55" s="525"/>
      <c r="D55" s="525"/>
      <c r="E55" s="525"/>
      <c r="F55" s="525"/>
      <c r="G55" s="525"/>
      <c r="H55" s="525"/>
      <c r="I55" s="525"/>
      <c r="J55" s="525"/>
      <c r="K55" s="525"/>
      <c r="L55" s="525"/>
      <c r="M55" s="525"/>
    </row>
    <row r="56" spans="1:13" ht="18" customHeight="1">
      <c r="A56" s="500">
        <v>10</v>
      </c>
      <c r="B56" s="471" t="s">
        <v>153</v>
      </c>
      <c r="C56" s="525"/>
      <c r="D56" s="525"/>
      <c r="E56" s="525"/>
      <c r="F56" s="525"/>
      <c r="G56" s="525"/>
      <c r="H56" s="525"/>
      <c r="I56" s="525"/>
      <c r="J56" s="525"/>
      <c r="K56" s="525"/>
      <c r="L56" s="525"/>
      <c r="M56" s="525"/>
    </row>
    <row r="57" spans="1:13" ht="18" customHeight="1">
      <c r="A57" s="500"/>
      <c r="B57" s="471" t="s">
        <v>154</v>
      </c>
      <c r="C57" s="525"/>
      <c r="D57" s="525"/>
      <c r="E57" s="525"/>
      <c r="F57" s="525"/>
      <c r="G57" s="525"/>
      <c r="H57" s="525"/>
      <c r="I57" s="525"/>
      <c r="J57" s="525"/>
      <c r="K57" s="525"/>
      <c r="L57" s="525"/>
      <c r="M57" s="525"/>
    </row>
    <row r="58" spans="1:13" ht="17.45" customHeight="1">
      <c r="A58" s="500"/>
      <c r="B58" s="471"/>
      <c r="C58" s="525"/>
      <c r="D58" s="525"/>
      <c r="E58" s="525"/>
      <c r="F58" s="525"/>
      <c r="G58" s="525"/>
      <c r="H58" s="525"/>
      <c r="I58" s="525"/>
      <c r="J58" s="525"/>
      <c r="K58" s="525"/>
      <c r="L58" s="525"/>
      <c r="M58" s="525"/>
    </row>
    <row r="59" spans="1:13" ht="15.6" customHeight="1">
      <c r="A59" s="527"/>
      <c r="B59" s="528"/>
      <c r="C59" s="525"/>
      <c r="D59" s="525"/>
      <c r="E59" s="525"/>
      <c r="F59" s="525"/>
      <c r="G59" s="525"/>
      <c r="H59" s="525"/>
      <c r="I59" s="525"/>
      <c r="J59" s="525"/>
      <c r="K59" s="525"/>
      <c r="L59" s="525"/>
      <c r="M59" s="525"/>
    </row>
    <row r="60" spans="1:13">
      <c r="A60" s="529"/>
      <c r="B60" s="440"/>
      <c r="C60" s="525"/>
      <c r="D60" s="525"/>
      <c r="E60" s="525"/>
      <c r="F60" s="525"/>
      <c r="G60" s="525"/>
      <c r="H60" s="525"/>
      <c r="I60" s="525"/>
      <c r="J60" s="525"/>
      <c r="K60" s="525"/>
      <c r="L60" s="525"/>
      <c r="M60" s="525"/>
    </row>
    <row r="61" spans="1:13" ht="15.75">
      <c r="A61" s="483"/>
      <c r="B61" s="471"/>
      <c r="C61" s="525"/>
      <c r="D61" s="525"/>
      <c r="E61" s="525"/>
      <c r="F61" s="525"/>
      <c r="G61" s="525"/>
      <c r="H61" s="525"/>
      <c r="I61" s="525"/>
      <c r="J61" s="525"/>
      <c r="K61" s="525"/>
      <c r="L61" s="525"/>
      <c r="M61" s="525"/>
    </row>
    <row r="62" spans="1:13" ht="15.75">
      <c r="A62" s="500"/>
      <c r="B62" s="528"/>
      <c r="C62" s="525"/>
      <c r="D62" s="525"/>
      <c r="E62" s="525"/>
      <c r="F62" s="525"/>
      <c r="G62" s="525"/>
      <c r="H62" s="525"/>
      <c r="I62" s="525"/>
      <c r="J62" s="525"/>
      <c r="K62" s="525"/>
      <c r="L62" s="525"/>
      <c r="M62" s="525"/>
    </row>
    <row r="63" spans="1:13" ht="15.75">
      <c r="A63" s="500"/>
      <c r="B63" s="528"/>
      <c r="C63" s="525"/>
      <c r="D63" s="525"/>
      <c r="E63" s="525"/>
      <c r="F63" s="525"/>
      <c r="G63" s="525"/>
      <c r="H63" s="525"/>
      <c r="I63" s="525"/>
      <c r="J63" s="525"/>
      <c r="K63" s="525"/>
      <c r="L63" s="525"/>
      <c r="M63" s="525"/>
    </row>
    <row r="64" spans="1:13" ht="12.75">
      <c r="A64" s="525"/>
      <c r="B64" s="525"/>
      <c r="C64" s="525"/>
      <c r="D64" s="525"/>
      <c r="E64" s="525"/>
      <c r="F64" s="525"/>
      <c r="G64" s="525"/>
      <c r="H64" s="525"/>
      <c r="I64" s="525"/>
      <c r="J64" s="525"/>
      <c r="K64" s="525"/>
      <c r="L64" s="525"/>
      <c r="M64" s="525"/>
    </row>
  </sheetData>
  <sheetProtection password="C688" sheet="1" selectLockedCells="1" selectUnlockedCells="1"/>
  <pageMargins left="0.75" right="0.75" top="1" bottom="1" header="0.5" footer="0.5"/>
  <pageSetup scale="49" orientation="portrait" cellComments="asDisplayed" horizontalDpi="300" verticalDpi="300" r:id="rId1"/>
  <headerFooter alignWithMargins="0">
    <oddFooter>&amp;L&amp;5&amp;D &amp;T rg Z:\Benefits\benefits model\FY07\FY07 fall final.xls  tab:  &amp;A</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8" tint="0.79998168889431442"/>
  </sheetPr>
  <dimension ref="A1:AA48"/>
  <sheetViews>
    <sheetView zoomScaleNormal="100" workbookViewId="0">
      <selection activeCell="F38" sqref="F38"/>
    </sheetView>
  </sheetViews>
  <sheetFormatPr defaultRowHeight="12.75"/>
  <cols>
    <col min="1" max="1" width="18.28515625" style="600" customWidth="1"/>
    <col min="2" max="2" width="40" style="600" customWidth="1"/>
    <col min="3" max="3" width="17.42578125" style="600" customWidth="1"/>
    <col min="4" max="4" width="18.7109375" style="600" customWidth="1"/>
    <col min="5" max="5" width="22.5703125" style="600" customWidth="1"/>
    <col min="6" max="6" width="28" style="600" customWidth="1"/>
    <col min="7" max="7" width="23.42578125" style="600" customWidth="1"/>
    <col min="8" max="8" width="40.28515625" style="600" customWidth="1"/>
    <col min="9" max="26" width="9.140625" style="600"/>
    <col min="27" max="27" width="15" style="600" bestFit="1" customWidth="1"/>
    <col min="28" max="16384" width="9.140625" style="600"/>
  </cols>
  <sheetData>
    <row r="1" spans="1:27" ht="27.75" customHeight="1">
      <c r="A1" s="1510" t="s">
        <v>671</v>
      </c>
      <c r="B1" s="1510"/>
      <c r="C1" s="1510"/>
      <c r="D1" s="1510"/>
      <c r="E1" s="1510"/>
      <c r="F1" s="1510"/>
      <c r="G1" s="1510"/>
      <c r="H1" s="1185"/>
      <c r="I1" s="1263"/>
      <c r="J1" s="1287"/>
      <c r="K1" s="1287"/>
      <c r="L1" s="1281"/>
      <c r="M1" s="1281"/>
      <c r="N1" s="1281"/>
      <c r="O1" s="1282"/>
      <c r="P1" s="1291"/>
      <c r="Q1" s="1291"/>
      <c r="R1" s="1183"/>
      <c r="S1" s="1183"/>
      <c r="T1" s="1183"/>
      <c r="U1" s="1183"/>
      <c r="V1" s="1183"/>
      <c r="W1" s="1183"/>
      <c r="X1" s="1183"/>
      <c r="Y1" s="1183"/>
      <c r="Z1" s="1184"/>
      <c r="AA1" s="1183"/>
    </row>
    <row r="2" spans="1:27" ht="21" customHeight="1">
      <c r="A2" s="1511" t="s">
        <v>792</v>
      </c>
      <c r="B2" s="1511"/>
      <c r="C2" s="1511"/>
      <c r="D2" s="1511"/>
      <c r="E2" s="1511"/>
      <c r="F2" s="1511"/>
      <c r="G2" s="1511"/>
      <c r="H2" s="1186"/>
      <c r="I2" s="1263" t="s">
        <v>441</v>
      </c>
      <c r="J2" s="1287"/>
      <c r="K2" s="1287"/>
      <c r="L2" s="1281"/>
      <c r="M2" s="1281"/>
      <c r="N2" s="1281"/>
      <c r="O2" s="1282"/>
      <c r="P2" s="1291"/>
      <c r="Q2" s="1291"/>
      <c r="R2" s="1183"/>
      <c r="S2" s="1183"/>
      <c r="T2" s="1183"/>
      <c r="U2" s="1183"/>
      <c r="V2" s="1183"/>
      <c r="W2" s="1183"/>
      <c r="X2" s="1183"/>
      <c r="Y2" s="1183"/>
      <c r="Z2" s="1183"/>
      <c r="AA2" s="1183"/>
    </row>
    <row r="3" spans="1:27" ht="20.25" customHeight="1">
      <c r="A3" s="1187"/>
      <c r="B3" s="1188" t="s">
        <v>143</v>
      </c>
      <c r="C3" s="1188"/>
      <c r="D3" s="1188"/>
      <c r="E3" s="1188"/>
      <c r="F3" s="1188"/>
      <c r="G3" s="1188"/>
      <c r="H3" s="1188"/>
      <c r="I3" s="1369">
        <v>1</v>
      </c>
      <c r="J3" s="1370" t="s">
        <v>818</v>
      </c>
      <c r="K3" s="1287"/>
      <c r="L3" s="1281"/>
      <c r="M3" s="1281"/>
      <c r="N3" s="1281"/>
      <c r="O3" s="1205"/>
      <c r="P3" s="1205"/>
      <c r="Q3" s="1205"/>
      <c r="R3" s="1183"/>
      <c r="S3" s="1183"/>
      <c r="T3" s="1183"/>
      <c r="U3" s="1183"/>
      <c r="V3" s="1183"/>
      <c r="W3" s="1183"/>
      <c r="X3" s="1183"/>
      <c r="Y3" s="1183"/>
      <c r="Z3" s="1183"/>
      <c r="AA3" s="1183"/>
    </row>
    <row r="4" spans="1:27" ht="15" customHeight="1">
      <c r="A4" s="1189" t="s">
        <v>143</v>
      </c>
      <c r="B4" s="1189"/>
      <c r="C4" s="1188"/>
      <c r="D4" s="1188"/>
      <c r="E4" s="1188"/>
      <c r="F4" s="1188"/>
      <c r="G4" s="1188" t="s">
        <v>143</v>
      </c>
      <c r="H4" s="1188"/>
      <c r="I4" s="1369">
        <v>2</v>
      </c>
      <c r="J4" s="1370" t="s">
        <v>723</v>
      </c>
      <c r="K4" s="1287"/>
      <c r="L4" s="1281"/>
      <c r="M4" s="1281"/>
      <c r="N4" s="1281"/>
      <c r="O4" s="1205"/>
      <c r="P4" s="1205"/>
      <c r="Q4" s="1205"/>
      <c r="R4" s="1183"/>
      <c r="S4" s="1183"/>
      <c r="T4" s="1183"/>
      <c r="U4" s="1183"/>
      <c r="V4" s="1183"/>
      <c r="W4" s="1183"/>
      <c r="X4" s="1183"/>
      <c r="Y4" s="1183"/>
      <c r="Z4" s="1183"/>
      <c r="AA4" s="1183"/>
    </row>
    <row r="5" spans="1:27" ht="17.25" customHeight="1">
      <c r="A5" s="1188"/>
      <c r="B5" s="1189"/>
      <c r="C5" s="1188"/>
      <c r="D5" s="1188"/>
      <c r="E5" s="1188"/>
      <c r="F5" s="1188"/>
      <c r="G5" s="1188"/>
      <c r="H5" s="1188"/>
      <c r="I5" s="1369">
        <v>3</v>
      </c>
      <c r="J5" s="1371" t="s">
        <v>819</v>
      </c>
      <c r="K5" s="1213"/>
      <c r="L5" s="1213"/>
      <c r="M5" s="1213"/>
      <c r="N5" s="1213"/>
      <c r="O5" s="1213"/>
      <c r="P5" s="1216"/>
      <c r="Q5" s="1216"/>
      <c r="R5" s="1183"/>
      <c r="S5" s="1183"/>
      <c r="T5" s="1183"/>
      <c r="U5" s="1183"/>
      <c r="V5" s="1183"/>
      <c r="W5" s="1183"/>
      <c r="X5" s="1183"/>
      <c r="Y5" s="1183"/>
      <c r="Z5" s="1183"/>
      <c r="AA5" s="1183"/>
    </row>
    <row r="6" spans="1:27" ht="15" customHeight="1">
      <c r="A6" s="1188"/>
      <c r="B6" s="1189"/>
      <c r="C6" s="1188"/>
      <c r="D6" s="1188"/>
      <c r="E6" s="1188"/>
      <c r="F6" s="1188"/>
      <c r="G6" s="1188"/>
      <c r="H6" s="1188"/>
      <c r="I6" s="1372"/>
      <c r="J6" s="1373" t="s">
        <v>672</v>
      </c>
      <c r="K6" s="1189"/>
      <c r="L6" s="1189"/>
      <c r="M6" s="1374" t="s">
        <v>707</v>
      </c>
      <c r="N6" s="1272"/>
      <c r="O6" s="1295"/>
      <c r="P6" s="1292"/>
      <c r="Q6" s="1215"/>
      <c r="R6" s="1183"/>
      <c r="S6" s="1183"/>
      <c r="T6" s="1183"/>
      <c r="U6" s="1183"/>
      <c r="V6" s="1183"/>
      <c r="W6" s="1183"/>
      <c r="X6" s="1183"/>
      <c r="Y6" s="1183"/>
      <c r="Z6" s="1183"/>
      <c r="AA6" s="1183"/>
    </row>
    <row r="7" spans="1:27" ht="15.75" customHeight="1">
      <c r="A7" s="1190"/>
      <c r="B7" s="1190"/>
      <c r="C7" s="1190"/>
      <c r="D7" s="1191" t="s">
        <v>108</v>
      </c>
      <c r="E7" s="1191" t="s">
        <v>109</v>
      </c>
      <c r="F7" s="1190"/>
      <c r="G7" s="1190"/>
      <c r="H7" s="1190"/>
      <c r="I7" s="1369">
        <v>4</v>
      </c>
      <c r="J7" s="1371" t="s">
        <v>755</v>
      </c>
      <c r="K7" s="1213"/>
      <c r="L7" s="1213"/>
      <c r="M7" s="1213"/>
      <c r="N7" s="1213"/>
      <c r="O7" s="1213"/>
      <c r="P7" s="1216"/>
      <c r="Q7" s="1216"/>
      <c r="R7" s="1183"/>
      <c r="S7" s="1183"/>
      <c r="T7" s="1183"/>
      <c r="U7" s="1183"/>
      <c r="V7" s="1183"/>
      <c r="W7" s="1183"/>
      <c r="X7" s="1183"/>
      <c r="Y7" s="1183"/>
      <c r="Z7" s="1183"/>
      <c r="AA7" s="1183"/>
    </row>
    <row r="8" spans="1:27" ht="25.5" customHeight="1">
      <c r="A8" s="1192" t="s">
        <v>793</v>
      </c>
      <c r="B8" s="1193" t="s">
        <v>795</v>
      </c>
      <c r="C8" s="1193"/>
      <c r="D8" s="1194">
        <v>6.2E-2</v>
      </c>
      <c r="E8" s="1195" t="s">
        <v>110</v>
      </c>
      <c r="F8" s="1190"/>
      <c r="G8" s="1190"/>
      <c r="H8" s="1190"/>
      <c r="I8" s="1369">
        <v>5</v>
      </c>
      <c r="J8" s="1371" t="s">
        <v>820</v>
      </c>
      <c r="K8" s="1213"/>
      <c r="L8" s="1213"/>
      <c r="M8" s="1213"/>
      <c r="N8" s="1213"/>
      <c r="O8" s="1213"/>
      <c r="P8" s="1217"/>
      <c r="Q8" s="1218"/>
      <c r="R8" s="1183"/>
      <c r="S8" s="1183"/>
      <c r="T8" s="1183"/>
      <c r="U8" s="1183"/>
      <c r="V8" s="1183"/>
      <c r="W8" s="1183"/>
      <c r="X8" s="1183"/>
      <c r="Y8" s="1183"/>
      <c r="Z8" s="1183"/>
      <c r="AA8" s="1183"/>
    </row>
    <row r="9" spans="1:27" ht="18" customHeight="1">
      <c r="A9" s="1196" t="s">
        <v>794</v>
      </c>
      <c r="B9" s="1193" t="s">
        <v>796</v>
      </c>
      <c r="C9" s="1197"/>
      <c r="D9" s="1194">
        <v>1.4500000000000001E-2</v>
      </c>
      <c r="E9" s="1195" t="s">
        <v>110</v>
      </c>
      <c r="F9" s="1190"/>
      <c r="G9" s="1190"/>
      <c r="H9" s="1190"/>
      <c r="I9" s="1372"/>
      <c r="J9" s="1371" t="s">
        <v>143</v>
      </c>
      <c r="K9" s="1213"/>
      <c r="L9" s="1213"/>
      <c r="M9" s="1213"/>
      <c r="N9" s="1213"/>
      <c r="O9" s="1296"/>
      <c r="P9" s="1296"/>
      <c r="Q9" s="1296"/>
      <c r="R9" s="1183"/>
      <c r="S9" s="1183"/>
      <c r="T9" s="1183"/>
      <c r="U9" s="1183"/>
      <c r="V9" s="1183"/>
      <c r="W9" s="1183"/>
      <c r="X9" s="1183"/>
      <c r="Y9" s="1183"/>
      <c r="Z9" s="1183"/>
      <c r="AA9" s="1183"/>
    </row>
    <row r="10" spans="1:27" ht="18" customHeight="1">
      <c r="A10" s="1190"/>
      <c r="B10" s="1197" t="s">
        <v>797</v>
      </c>
      <c r="C10" s="1197"/>
      <c r="D10" s="1194">
        <v>0.05</v>
      </c>
      <c r="E10" s="1195" t="s">
        <v>110</v>
      </c>
      <c r="F10" s="1190"/>
      <c r="G10" s="1190"/>
      <c r="H10" s="1190"/>
      <c r="I10" s="1369">
        <v>6</v>
      </c>
      <c r="J10" s="1371" t="s">
        <v>821</v>
      </c>
      <c r="K10" s="1213"/>
      <c r="L10" s="1213"/>
      <c r="M10" s="1213"/>
      <c r="N10" s="1213"/>
      <c r="O10" s="1296"/>
      <c r="P10" s="1296"/>
      <c r="Q10" s="1216"/>
      <c r="R10" s="1183"/>
      <c r="S10" s="1183"/>
      <c r="T10" s="1183"/>
      <c r="U10" s="1183"/>
      <c r="V10" s="1183"/>
      <c r="W10" s="1183"/>
      <c r="X10" s="1183"/>
      <c r="Y10" s="1183"/>
      <c r="Z10" s="1183"/>
      <c r="AA10" s="1183"/>
    </row>
    <row r="11" spans="1:27" ht="18" customHeight="1">
      <c r="A11" s="1190"/>
      <c r="B11" s="1197" t="s">
        <v>798</v>
      </c>
      <c r="C11" s="1197"/>
      <c r="D11" s="1194">
        <v>7.4999999999999997E-2</v>
      </c>
      <c r="E11" s="1195" t="s">
        <v>110</v>
      </c>
      <c r="F11" s="1190"/>
      <c r="G11" s="1190"/>
      <c r="H11" s="1190"/>
      <c r="I11" s="1369">
        <v>7</v>
      </c>
      <c r="J11" s="1371" t="s">
        <v>822</v>
      </c>
      <c r="K11" s="1213"/>
      <c r="L11" s="1213"/>
      <c r="M11" s="1213"/>
      <c r="N11" s="1189"/>
      <c r="O11" s="1296"/>
      <c r="P11" s="1216"/>
      <c r="Q11" s="1216"/>
      <c r="R11" s="1183"/>
      <c r="S11" s="1183"/>
      <c r="T11" s="1183"/>
      <c r="U11" s="1183"/>
      <c r="V11" s="1183"/>
      <c r="W11" s="1183"/>
      <c r="X11" s="1183"/>
      <c r="Y11" s="1183"/>
      <c r="Z11" s="1183"/>
      <c r="AA11" s="1183"/>
    </row>
    <row r="12" spans="1:27" ht="18" customHeight="1">
      <c r="A12" s="1190"/>
      <c r="B12" s="1197" t="s">
        <v>799</v>
      </c>
      <c r="C12" s="1197"/>
      <c r="D12" s="1194">
        <v>0.1</v>
      </c>
      <c r="E12" s="1195" t="s">
        <v>110</v>
      </c>
      <c r="F12" s="1190"/>
      <c r="G12" s="1190"/>
      <c r="H12" s="1190"/>
      <c r="I12" s="1369">
        <v>8</v>
      </c>
      <c r="J12" s="1371" t="s">
        <v>823</v>
      </c>
      <c r="K12" s="1213"/>
      <c r="L12" s="1213"/>
      <c r="M12" s="1213"/>
      <c r="N12" s="1213"/>
      <c r="O12" s="1213"/>
      <c r="P12" s="1216"/>
      <c r="Q12" s="1216"/>
      <c r="R12" s="1183"/>
      <c r="S12" s="1183"/>
      <c r="T12" s="1183"/>
      <c r="U12" s="1183"/>
      <c r="V12" s="1183"/>
      <c r="W12" s="1183"/>
      <c r="X12" s="1183"/>
      <c r="Y12" s="1183"/>
      <c r="Z12" s="1183"/>
      <c r="AA12" s="1183"/>
    </row>
    <row r="13" spans="1:27" ht="18" customHeight="1">
      <c r="A13" s="1192">
        <v>3</v>
      </c>
      <c r="B13" s="1197" t="s">
        <v>394</v>
      </c>
      <c r="C13" s="1197"/>
      <c r="D13" s="1194">
        <v>9.3899999999999997E-2</v>
      </c>
      <c r="E13" s="1195" t="s">
        <v>110</v>
      </c>
      <c r="F13" s="1190"/>
      <c r="G13" s="1190"/>
      <c r="H13" s="1190"/>
      <c r="I13" s="1369">
        <v>9</v>
      </c>
      <c r="J13" s="1371" t="s">
        <v>824</v>
      </c>
      <c r="K13" s="1213"/>
      <c r="L13" s="1213"/>
      <c r="M13" s="1213"/>
      <c r="N13" s="1213"/>
      <c r="O13" s="1213"/>
      <c r="P13" s="1217"/>
      <c r="Q13" s="1216"/>
      <c r="R13" s="1183"/>
      <c r="S13" s="1183"/>
      <c r="T13" s="1183"/>
      <c r="U13" s="1183"/>
      <c r="V13" s="1183"/>
      <c r="W13" s="1183"/>
      <c r="X13" s="1183"/>
      <c r="Y13" s="1183"/>
      <c r="Z13" s="1183"/>
      <c r="AA13" s="1183"/>
    </row>
    <row r="14" spans="1:27" ht="18" customHeight="1">
      <c r="A14" s="1192">
        <v>3</v>
      </c>
      <c r="B14" s="1197" t="s">
        <v>397</v>
      </c>
      <c r="C14" s="1197"/>
      <c r="D14" s="1194">
        <v>9.3899999999999997E-2</v>
      </c>
      <c r="E14" s="1195" t="s">
        <v>110</v>
      </c>
      <c r="F14" s="1190"/>
      <c r="G14" s="1190"/>
      <c r="H14" s="1190"/>
      <c r="I14" s="1369">
        <v>10</v>
      </c>
      <c r="J14" s="1370" t="s">
        <v>825</v>
      </c>
      <c r="K14" s="1292"/>
      <c r="L14" s="1293"/>
      <c r="M14" s="1293"/>
      <c r="N14" s="1293"/>
      <c r="O14" s="1214"/>
      <c r="P14" s="1214"/>
      <c r="Q14" s="1214"/>
      <c r="R14" s="1183"/>
      <c r="S14" s="1183"/>
      <c r="T14" s="1183"/>
      <c r="U14" s="1183"/>
      <c r="V14" s="1183"/>
      <c r="W14" s="1183"/>
      <c r="X14" s="1183"/>
      <c r="Y14" s="1183"/>
      <c r="Z14" s="1183"/>
      <c r="AA14" s="1183"/>
    </row>
    <row r="15" spans="1:27" ht="18" customHeight="1">
      <c r="A15" s="1192">
        <v>3</v>
      </c>
      <c r="B15" s="1197" t="s">
        <v>400</v>
      </c>
      <c r="C15" s="1197"/>
      <c r="D15" s="1194">
        <v>9.3899999999999997E-2</v>
      </c>
      <c r="E15" s="1195" t="s">
        <v>110</v>
      </c>
      <c r="F15" s="1190"/>
      <c r="G15" s="1190"/>
      <c r="H15" s="1190"/>
      <c r="I15" s="1372"/>
      <c r="J15" s="1370" t="s">
        <v>826</v>
      </c>
      <c r="K15" s="1214"/>
      <c r="L15" s="1214"/>
      <c r="M15" s="1214"/>
      <c r="N15" s="1293"/>
      <c r="O15" s="1214"/>
      <c r="P15" s="1214"/>
      <c r="Q15" s="1214"/>
      <c r="R15" s="1183"/>
      <c r="S15" s="1183"/>
      <c r="T15" s="1183"/>
      <c r="U15" s="1183"/>
      <c r="V15" s="1183"/>
      <c r="W15" s="1183"/>
      <c r="X15" s="1183"/>
      <c r="Y15" s="1183"/>
      <c r="Z15" s="1183"/>
      <c r="AA15" s="1183"/>
    </row>
    <row r="16" spans="1:27" ht="18" customHeight="1">
      <c r="A16" s="1192">
        <v>3</v>
      </c>
      <c r="B16" s="1197" t="s">
        <v>405</v>
      </c>
      <c r="C16" s="1197"/>
      <c r="D16" s="1194">
        <v>0.1469</v>
      </c>
      <c r="E16" s="1195" t="s">
        <v>110</v>
      </c>
      <c r="F16" s="1190"/>
      <c r="G16" s="1190"/>
      <c r="H16" s="1190"/>
      <c r="I16" s="1372"/>
      <c r="J16" s="1370" t="s">
        <v>819</v>
      </c>
      <c r="K16" s="1214"/>
      <c r="L16" s="1214"/>
      <c r="M16" s="1214"/>
      <c r="N16" s="1293"/>
      <c r="O16" s="1214"/>
      <c r="P16" s="1214"/>
      <c r="Q16" s="1214"/>
      <c r="R16" s="1183"/>
      <c r="S16" s="1183"/>
      <c r="T16" s="1183"/>
      <c r="U16" s="1183"/>
      <c r="V16" s="1183"/>
      <c r="W16" s="1183"/>
      <c r="X16" s="1183"/>
      <c r="Y16" s="1183"/>
      <c r="Z16" s="1183"/>
      <c r="AA16" s="1183"/>
    </row>
    <row r="17" spans="1:27" ht="18" customHeight="1">
      <c r="A17" s="1192">
        <v>3</v>
      </c>
      <c r="B17" s="1197" t="s">
        <v>677</v>
      </c>
      <c r="C17" s="1197"/>
      <c r="D17" s="1194">
        <v>0.1469</v>
      </c>
      <c r="E17" s="1195" t="s">
        <v>110</v>
      </c>
      <c r="F17" s="1190"/>
      <c r="G17" s="1190"/>
      <c r="H17" s="1190"/>
      <c r="I17" s="1369">
        <v>11</v>
      </c>
      <c r="J17" s="1371" t="s">
        <v>724</v>
      </c>
      <c r="K17" s="1213"/>
      <c r="L17" s="1213"/>
      <c r="M17" s="1213"/>
      <c r="N17" s="1213"/>
      <c r="O17" s="1213"/>
      <c r="P17" s="1216"/>
      <c r="Q17" s="1216"/>
      <c r="R17" s="1302"/>
      <c r="S17" s="1302"/>
      <c r="T17" s="1302"/>
      <c r="U17" s="1302"/>
      <c r="V17" s="1302"/>
      <c r="W17" s="1302"/>
      <c r="X17" s="1183"/>
      <c r="Y17" s="1183"/>
      <c r="Z17" s="1183"/>
      <c r="AA17" s="1183"/>
    </row>
    <row r="18" spans="1:27" ht="18" customHeight="1">
      <c r="A18" s="1192"/>
      <c r="B18" s="1197" t="s">
        <v>414</v>
      </c>
      <c r="C18" s="1197"/>
      <c r="D18" s="1194">
        <v>8.7099999999999997E-2</v>
      </c>
      <c r="E18" s="1195" t="s">
        <v>110</v>
      </c>
      <c r="F18" s="1190"/>
      <c r="G18" s="1190"/>
      <c r="H18" s="1190"/>
      <c r="I18" s="1369">
        <v>12</v>
      </c>
      <c r="J18" s="1370" t="s">
        <v>151</v>
      </c>
      <c r="K18" s="1292"/>
      <c r="L18" s="1214"/>
      <c r="M18" s="1214"/>
      <c r="N18" s="1293"/>
      <c r="O18" s="1214"/>
      <c r="P18" s="1214"/>
      <c r="Q18" s="1214"/>
      <c r="R18" s="1183"/>
      <c r="S18" s="1183"/>
      <c r="T18" s="1183"/>
      <c r="U18" s="1183"/>
      <c r="V18" s="1183"/>
      <c r="W18" s="1183"/>
      <c r="X18" s="1183"/>
      <c r="Y18" s="1183"/>
      <c r="Z18" s="1183"/>
      <c r="AA18" s="1183"/>
    </row>
    <row r="19" spans="1:27" ht="18" customHeight="1">
      <c r="A19" s="1192">
        <v>3</v>
      </c>
      <c r="B19" s="1197" t="s">
        <v>394</v>
      </c>
      <c r="C19" s="1197"/>
      <c r="D19" s="1194">
        <v>9.3899999999999997E-2</v>
      </c>
      <c r="E19" s="1195" t="s">
        <v>122</v>
      </c>
      <c r="F19" s="1190"/>
      <c r="G19" s="1190"/>
      <c r="H19" s="1190"/>
      <c r="I19" s="1375"/>
      <c r="J19" s="1370" t="s">
        <v>827</v>
      </c>
      <c r="K19" s="1292"/>
      <c r="L19" s="1214"/>
      <c r="M19" s="1214"/>
      <c r="N19" s="1293"/>
      <c r="O19" s="1214"/>
      <c r="P19" s="1214"/>
      <c r="Q19" s="1214"/>
      <c r="R19" s="1183"/>
      <c r="S19" s="1183"/>
      <c r="T19" s="1183"/>
      <c r="U19" s="1183"/>
      <c r="V19" s="1183"/>
      <c r="W19" s="1183"/>
      <c r="X19" s="1183"/>
      <c r="Y19" s="1183"/>
      <c r="Z19" s="1183"/>
      <c r="AA19" s="1183"/>
    </row>
    <row r="20" spans="1:27" ht="18" customHeight="1">
      <c r="A20" s="1192">
        <v>3</v>
      </c>
      <c r="B20" s="1197" t="s">
        <v>397</v>
      </c>
      <c r="C20" s="1197"/>
      <c r="D20" s="1194">
        <v>9.3899999999999997E-2</v>
      </c>
      <c r="E20" s="1195" t="s">
        <v>122</v>
      </c>
      <c r="F20" s="1190"/>
      <c r="G20" s="1190"/>
      <c r="H20" s="1190"/>
      <c r="I20" s="1375"/>
      <c r="J20" s="1371" t="s">
        <v>828</v>
      </c>
      <c r="K20" s="1292"/>
      <c r="L20" s="1214"/>
      <c r="M20" s="1214"/>
      <c r="N20" s="1293"/>
      <c r="O20" s="1214"/>
      <c r="P20" s="1214"/>
      <c r="Q20" s="1214"/>
      <c r="R20" s="1183"/>
      <c r="S20" s="1183"/>
      <c r="T20" s="1183"/>
      <c r="U20" s="1183"/>
      <c r="V20" s="1183"/>
      <c r="W20" s="1183"/>
      <c r="X20" s="1183"/>
      <c r="Y20" s="1183"/>
      <c r="Z20" s="1183"/>
      <c r="AA20" s="1183"/>
    </row>
    <row r="21" spans="1:27" ht="18" customHeight="1">
      <c r="A21" s="1198">
        <v>4</v>
      </c>
      <c r="B21" s="1193" t="s">
        <v>800</v>
      </c>
      <c r="C21" s="1193"/>
      <c r="D21" s="1194">
        <v>1.8E-3</v>
      </c>
      <c r="E21" s="1195" t="s">
        <v>110</v>
      </c>
      <c r="F21" s="1190"/>
      <c r="G21" s="1190"/>
      <c r="H21" s="1190"/>
      <c r="I21" s="1376"/>
      <c r="J21" s="1370" t="s">
        <v>829</v>
      </c>
      <c r="K21" s="1294"/>
      <c r="L21" s="1294"/>
      <c r="M21" s="1294"/>
      <c r="N21" s="1294"/>
      <c r="O21" s="1294"/>
      <c r="P21" s="1294"/>
      <c r="Q21" s="1294"/>
      <c r="R21" s="1183"/>
      <c r="S21" s="1183"/>
      <c r="T21" s="1183"/>
      <c r="U21" s="1183"/>
      <c r="V21" s="1183"/>
      <c r="W21" s="1183"/>
      <c r="X21" s="1183"/>
      <c r="Y21" s="1183"/>
      <c r="Z21" s="1183"/>
      <c r="AA21" s="1183"/>
    </row>
    <row r="22" spans="1:27" ht="18" customHeight="1">
      <c r="A22" s="1198">
        <v>5</v>
      </c>
      <c r="B22" s="1193" t="s">
        <v>801</v>
      </c>
      <c r="C22" s="1193"/>
      <c r="D22" s="1199">
        <v>55.46</v>
      </c>
      <c r="E22" s="1195" t="s">
        <v>716</v>
      </c>
      <c r="F22" s="1190"/>
      <c r="G22" s="1190"/>
      <c r="H22" s="1190"/>
      <c r="I22" s="1376"/>
      <c r="J22" s="1370" t="s">
        <v>722</v>
      </c>
      <c r="K22" s="1294"/>
      <c r="L22" s="1294"/>
      <c r="M22" s="1294"/>
      <c r="N22" s="1294"/>
      <c r="O22" s="1294"/>
      <c r="P22" s="1294"/>
      <c r="Q22" s="1294"/>
      <c r="R22" s="1183"/>
      <c r="S22" s="1183"/>
      <c r="T22" s="1183"/>
      <c r="U22" s="1183"/>
      <c r="V22" s="1183"/>
      <c r="W22" s="1183"/>
      <c r="X22" s="1183"/>
      <c r="Y22" s="1183"/>
      <c r="Z22" s="1183"/>
      <c r="AA22" s="1183"/>
    </row>
    <row r="23" spans="1:27" ht="18" customHeight="1">
      <c r="A23" s="1192">
        <v>6</v>
      </c>
      <c r="B23" s="1193" t="s">
        <v>802</v>
      </c>
      <c r="C23" s="1193"/>
      <c r="D23" s="1199">
        <v>1145</v>
      </c>
      <c r="E23" s="1193" t="s">
        <v>127</v>
      </c>
      <c r="F23" s="1190"/>
      <c r="G23" s="1190"/>
      <c r="H23" s="1190"/>
      <c r="I23" s="1372"/>
      <c r="J23" s="1370" t="s">
        <v>830</v>
      </c>
      <c r="K23" s="1294"/>
      <c r="L23" s="1213"/>
      <c r="M23" s="1377" t="s">
        <v>672</v>
      </c>
      <c r="N23" s="1294"/>
      <c r="O23" s="1294"/>
      <c r="P23" s="1294"/>
      <c r="Q23" s="1294"/>
      <c r="R23" s="1183"/>
      <c r="S23" s="1183"/>
      <c r="T23" s="1183"/>
      <c r="U23" s="1183"/>
      <c r="V23" s="1183"/>
      <c r="W23" s="1183"/>
      <c r="X23" s="1183"/>
      <c r="Y23" s="1183"/>
      <c r="Z23" s="1183"/>
      <c r="AA23" s="1183"/>
    </row>
    <row r="24" spans="1:27" ht="18" customHeight="1">
      <c r="A24" s="1192"/>
      <c r="B24" s="1193"/>
      <c r="C24" s="1193"/>
      <c r="D24" s="1199"/>
      <c r="E24" s="1193"/>
      <c r="F24" s="1190"/>
      <c r="G24" s="1190"/>
      <c r="H24" s="1190"/>
      <c r="I24" s="1369">
        <v>13</v>
      </c>
      <c r="J24" s="1371" t="s">
        <v>165</v>
      </c>
      <c r="K24" s="1214"/>
      <c r="L24" s="1214"/>
      <c r="M24" s="1214"/>
      <c r="N24" s="1293"/>
      <c r="O24" s="1214"/>
      <c r="P24" s="1214"/>
      <c r="Q24" s="1214"/>
      <c r="R24" s="1183"/>
      <c r="S24" s="1183"/>
      <c r="T24" s="1183"/>
      <c r="U24" s="1183"/>
      <c r="V24" s="1183"/>
      <c r="W24" s="1183"/>
      <c r="X24" s="1183"/>
      <c r="Y24" s="1183"/>
      <c r="Z24" s="1183"/>
      <c r="AA24" s="1183"/>
    </row>
    <row r="25" spans="1:27" ht="18" customHeight="1">
      <c r="A25" s="1192">
        <v>7</v>
      </c>
      <c r="B25" s="1193" t="s">
        <v>803</v>
      </c>
      <c r="C25" s="1193"/>
      <c r="D25" s="1199">
        <v>2524</v>
      </c>
      <c r="E25" s="1193" t="s">
        <v>761</v>
      </c>
      <c r="F25" s="1190"/>
      <c r="G25" s="1190"/>
      <c r="H25" s="1190"/>
      <c r="I25" s="1372"/>
      <c r="J25" s="1371" t="s">
        <v>831</v>
      </c>
      <c r="K25" s="1213"/>
      <c r="L25" s="1213"/>
      <c r="M25" s="1213"/>
      <c r="N25" s="1213"/>
      <c r="O25" s="1296"/>
      <c r="P25" s="1216"/>
      <c r="Q25" s="1216"/>
      <c r="R25" s="1183"/>
      <c r="S25" s="1183"/>
      <c r="T25" s="1183"/>
      <c r="U25" s="1183"/>
      <c r="V25" s="1183"/>
      <c r="W25" s="1183"/>
      <c r="X25" s="1183"/>
      <c r="Y25" s="1183"/>
      <c r="Z25" s="1183"/>
      <c r="AA25" s="1183"/>
    </row>
    <row r="26" spans="1:27" ht="18" customHeight="1">
      <c r="A26" s="1192">
        <v>6</v>
      </c>
      <c r="B26" s="1193" t="s">
        <v>806</v>
      </c>
      <c r="C26" s="1193"/>
      <c r="D26" s="1199">
        <v>1145</v>
      </c>
      <c r="E26" s="1193" t="s">
        <v>741</v>
      </c>
      <c r="F26" s="1190"/>
      <c r="G26" s="1190"/>
      <c r="H26" s="1190"/>
      <c r="I26" s="1369">
        <v>14</v>
      </c>
      <c r="J26" s="1371" t="s">
        <v>763</v>
      </c>
      <c r="K26" s="1213"/>
      <c r="L26" s="1213"/>
      <c r="M26" s="1213"/>
      <c r="N26" s="1378"/>
      <c r="O26" s="1296"/>
      <c r="P26" s="1216" t="s">
        <v>143</v>
      </c>
      <c r="Q26" s="1216"/>
      <c r="R26" s="1183"/>
      <c r="S26" s="1183"/>
      <c r="T26" s="1183"/>
      <c r="U26" s="1183"/>
      <c r="V26" s="1183"/>
      <c r="W26" s="1183"/>
      <c r="X26" s="1183"/>
      <c r="Y26" s="1183"/>
      <c r="Z26" s="1184"/>
      <c r="AA26" s="1183"/>
    </row>
    <row r="27" spans="1:27" ht="18" customHeight="1">
      <c r="A27" s="1192">
        <v>8</v>
      </c>
      <c r="B27" s="1193" t="s">
        <v>804</v>
      </c>
      <c r="C27" s="1193"/>
      <c r="D27" s="1199">
        <v>6148.5</v>
      </c>
      <c r="E27" s="1193" t="s">
        <v>157</v>
      </c>
      <c r="F27" s="1190"/>
      <c r="G27" s="1190"/>
      <c r="H27" s="1190"/>
      <c r="I27" s="1369">
        <v>15</v>
      </c>
      <c r="J27" s="1371" t="s">
        <v>832</v>
      </c>
      <c r="K27" s="1213"/>
      <c r="L27" s="1213"/>
      <c r="M27" s="1213"/>
      <c r="N27" s="1213"/>
      <c r="O27" s="1296"/>
      <c r="P27" s="1296"/>
      <c r="Q27" s="1218"/>
      <c r="AA27" s="1306">
        <v>43624</v>
      </c>
    </row>
    <row r="28" spans="1:27" ht="18.75">
      <c r="A28" s="1192">
        <v>9</v>
      </c>
      <c r="B28" s="1193" t="s">
        <v>805</v>
      </c>
      <c r="C28" s="1193"/>
      <c r="D28" s="1200">
        <v>2.2000000000000001E-3</v>
      </c>
      <c r="E28" s="1195" t="s">
        <v>110</v>
      </c>
      <c r="F28" s="1190"/>
      <c r="G28" s="1190"/>
      <c r="H28" s="1190"/>
    </row>
    <row r="29" spans="1:27" ht="18.75">
      <c r="A29" s="1192" t="s">
        <v>717</v>
      </c>
      <c r="B29" s="1201" t="s">
        <v>131</v>
      </c>
      <c r="C29" s="1201"/>
      <c r="D29" s="1190"/>
      <c r="E29" s="1190"/>
      <c r="F29" s="1190"/>
      <c r="G29" s="1190"/>
      <c r="H29" s="1190"/>
    </row>
    <row r="30" spans="1:27" ht="17.25" customHeight="1">
      <c r="A30" s="1202"/>
      <c r="B30" s="1203"/>
      <c r="C30" s="1204"/>
      <c r="D30" s="1204"/>
      <c r="E30" s="1204"/>
      <c r="F30" s="1204"/>
      <c r="G30" s="1204" t="s">
        <v>143</v>
      </c>
      <c r="H30" s="1204"/>
    </row>
    <row r="31" spans="1:27" ht="15" customHeight="1">
      <c r="A31" s="1198"/>
      <c r="B31" s="1197" t="s">
        <v>174</v>
      </c>
      <c r="C31" s="1193" t="s">
        <v>808</v>
      </c>
      <c r="D31" s="1205"/>
      <c r="E31" s="1190"/>
      <c r="F31" s="1190"/>
      <c r="G31" s="1190"/>
      <c r="H31" s="1190"/>
    </row>
    <row r="32" spans="1:27" ht="15" customHeight="1">
      <c r="A32" s="1198"/>
      <c r="B32" s="1193" t="s">
        <v>148</v>
      </c>
      <c r="C32" s="1193" t="s">
        <v>808</v>
      </c>
      <c r="D32" s="1205"/>
      <c r="E32" s="1190"/>
      <c r="F32" s="1190"/>
      <c r="G32" s="1190"/>
      <c r="H32" s="1190"/>
    </row>
    <row r="33" spans="1:8" ht="15" customHeight="1">
      <c r="A33" s="1198"/>
      <c r="B33" s="1193" t="s">
        <v>132</v>
      </c>
      <c r="C33" s="1193" t="s">
        <v>809</v>
      </c>
      <c r="D33" s="1205"/>
      <c r="E33" s="1190"/>
      <c r="F33" s="1190"/>
      <c r="G33" s="1190"/>
      <c r="H33" s="1190"/>
    </row>
    <row r="34" spans="1:8" ht="15" customHeight="1">
      <c r="A34" s="1198"/>
      <c r="B34" s="1197" t="s">
        <v>133</v>
      </c>
      <c r="C34" s="1193" t="s">
        <v>810</v>
      </c>
      <c r="D34" s="1205"/>
      <c r="E34" s="1190"/>
      <c r="F34" s="1190"/>
      <c r="G34" s="1190"/>
      <c r="H34" s="1190"/>
    </row>
    <row r="35" spans="1:8" ht="15" customHeight="1">
      <c r="A35" s="1198"/>
      <c r="B35" s="1197" t="s">
        <v>149</v>
      </c>
      <c r="C35" s="1193" t="s">
        <v>811</v>
      </c>
      <c r="D35" s="1205"/>
      <c r="E35" s="1190"/>
      <c r="F35" s="1190"/>
      <c r="G35" s="1190"/>
      <c r="H35" s="1190"/>
    </row>
    <row r="36" spans="1:8" ht="18.75">
      <c r="A36" s="1192" t="s">
        <v>807</v>
      </c>
      <c r="B36" s="1206" t="s">
        <v>134</v>
      </c>
      <c r="C36" s="1207"/>
      <c r="D36" s="1204"/>
      <c r="E36" s="1204"/>
      <c r="F36" s="1190"/>
      <c r="G36" s="1190"/>
      <c r="H36" s="1190"/>
    </row>
    <row r="37" spans="1:8" ht="13.5" customHeight="1">
      <c r="A37" s="1198"/>
      <c r="B37" s="1190"/>
      <c r="C37" s="1190"/>
      <c r="D37" s="1277" t="s">
        <v>754</v>
      </c>
      <c r="E37" s="1278" t="s">
        <v>762</v>
      </c>
      <c r="F37" s="1279" t="s">
        <v>812</v>
      </c>
      <c r="G37" s="1303" t="s">
        <v>143</v>
      </c>
      <c r="H37" s="1304" t="s">
        <v>143</v>
      </c>
    </row>
    <row r="38" spans="1:8" ht="18.75">
      <c r="A38" s="1198"/>
      <c r="B38" s="1209" t="s">
        <v>158</v>
      </c>
      <c r="C38" s="1209"/>
      <c r="D38" s="1280">
        <v>0.42081974583942028</v>
      </c>
      <c r="E38" s="1280">
        <v>0.46219738264731614</v>
      </c>
      <c r="F38" s="1282">
        <v>0.4363800211511118</v>
      </c>
      <c r="G38" s="1281"/>
      <c r="H38" s="1205"/>
    </row>
    <row r="39" spans="1:8" ht="18.75">
      <c r="A39" s="1198"/>
      <c r="B39" s="1209" t="s">
        <v>159</v>
      </c>
      <c r="C39" s="1209"/>
      <c r="D39" s="1280">
        <v>0.38446033305452831</v>
      </c>
      <c r="E39" s="1280">
        <v>0.43496320446613135</v>
      </c>
      <c r="F39" s="1282">
        <v>0.41392343945734389</v>
      </c>
      <c r="G39" s="1281"/>
      <c r="H39" s="1205"/>
    </row>
    <row r="40" spans="1:8" ht="18.75">
      <c r="A40" s="1198"/>
      <c r="B40" s="1209" t="s">
        <v>160</v>
      </c>
      <c r="C40" s="1209"/>
      <c r="D40" s="1280">
        <v>0.3294248733601205</v>
      </c>
      <c r="E40" s="1280">
        <v>0.3546667121342012</v>
      </c>
      <c r="F40" s="1282">
        <v>0.35175650886738824</v>
      </c>
      <c r="G40" s="1281"/>
      <c r="H40" s="1205"/>
    </row>
    <row r="41" spans="1:8" ht="18.75">
      <c r="A41" s="1198"/>
      <c r="B41" s="1209" t="s">
        <v>105</v>
      </c>
      <c r="C41" s="1209"/>
      <c r="D41" s="1280">
        <v>0.28582895612931974</v>
      </c>
      <c r="E41" s="1280">
        <v>0.32395323363228901</v>
      </c>
      <c r="F41" s="1282">
        <v>0.31228387518459322</v>
      </c>
      <c r="G41" s="1281"/>
      <c r="H41" s="1205"/>
    </row>
    <row r="42" spans="1:8" ht="18.75">
      <c r="A42" s="1198"/>
      <c r="B42" s="1210" t="s">
        <v>718</v>
      </c>
      <c r="C42" s="1210"/>
      <c r="D42" s="1283">
        <v>0.34358333914295458</v>
      </c>
      <c r="E42" s="1283">
        <v>0.36299148748229165</v>
      </c>
      <c r="F42" s="1284">
        <v>0.35154842681716475</v>
      </c>
      <c r="G42" s="1305" t="s">
        <v>143</v>
      </c>
      <c r="H42" s="1205"/>
    </row>
    <row r="43" spans="1:8" ht="18.75">
      <c r="A43" s="1198"/>
      <c r="B43" s="1208" t="s">
        <v>143</v>
      </c>
      <c r="C43" s="1208"/>
      <c r="D43" s="1282" t="s">
        <v>143</v>
      </c>
      <c r="E43" s="1282" t="s">
        <v>143</v>
      </c>
      <c r="F43" s="1282" t="s">
        <v>143</v>
      </c>
      <c r="G43" s="1285" t="s">
        <v>813</v>
      </c>
      <c r="H43" s="1205"/>
    </row>
    <row r="44" spans="1:8" ht="18" customHeight="1">
      <c r="A44" s="1198" t="s">
        <v>816</v>
      </c>
      <c r="B44" s="1209" t="s">
        <v>719</v>
      </c>
      <c r="C44" s="1209"/>
      <c r="D44" s="1280">
        <v>0.12429163762678</v>
      </c>
      <c r="E44" s="1280">
        <v>0.15371154490399083</v>
      </c>
      <c r="F44" s="1282">
        <v>0.15112656335471494</v>
      </c>
      <c r="G44" s="1282">
        <v>0.81235054523226224</v>
      </c>
      <c r="H44" s="1286" t="s">
        <v>143</v>
      </c>
    </row>
    <row r="45" spans="1:8" ht="18.75">
      <c r="A45" s="1198" t="s">
        <v>817</v>
      </c>
      <c r="B45" s="1211" t="s">
        <v>720</v>
      </c>
      <c r="C45" s="1211"/>
      <c r="D45" s="1281">
        <v>1.9804601899196493E-2</v>
      </c>
      <c r="E45" s="1281">
        <v>2.3921670117322286E-2</v>
      </c>
      <c r="F45" s="1282">
        <v>2.2021918678526046E-2</v>
      </c>
      <c r="G45" s="1286" t="s">
        <v>673</v>
      </c>
      <c r="H45" s="1286" t="s">
        <v>143</v>
      </c>
    </row>
    <row r="46" spans="1:8" ht="18.75">
      <c r="A46" s="1198"/>
      <c r="B46" s="1211"/>
      <c r="C46" s="1211"/>
      <c r="D46" s="1288" t="s">
        <v>721</v>
      </c>
      <c r="E46" s="1288" t="s">
        <v>721</v>
      </c>
      <c r="F46" s="1289" t="s">
        <v>721</v>
      </c>
      <c r="G46" s="1285" t="s">
        <v>814</v>
      </c>
      <c r="H46" s="1285" t="s">
        <v>815</v>
      </c>
    </row>
    <row r="47" spans="1:8" ht="15" customHeight="1">
      <c r="A47" s="1198">
        <v>15</v>
      </c>
      <c r="B47" s="1211" t="s">
        <v>138</v>
      </c>
      <c r="C47" s="1211"/>
      <c r="D47" s="1280">
        <v>9.7784601899196508E-2</v>
      </c>
      <c r="E47" s="1280">
        <v>0.10202847011732231</v>
      </c>
      <c r="F47" s="1282">
        <v>0.10070111867852601</v>
      </c>
      <c r="G47" s="1282">
        <v>0.64925486709021596</v>
      </c>
      <c r="H47" s="1290">
        <v>0.194601118678526</v>
      </c>
    </row>
    <row r="48" spans="1:8" ht="26.25" customHeight="1">
      <c r="A48" s="1212"/>
      <c r="B48" s="1167"/>
      <c r="C48" s="1167"/>
      <c r="D48" s="1167"/>
      <c r="E48" s="1167"/>
      <c r="F48" s="1167"/>
      <c r="G48" s="1167"/>
      <c r="H48" s="1167"/>
    </row>
  </sheetData>
  <mergeCells count="2">
    <mergeCell ref="A1:G1"/>
    <mergeCell ref="A2:G2"/>
  </mergeCells>
  <hyperlinks>
    <hyperlink ref="M23" r:id="rId1" xr:uid="{6B5F6B7E-B207-413F-BDAD-DBD9D6455018}"/>
    <hyperlink ref="J6" r:id="rId2" xr:uid="{F0BDC29F-F88C-4E59-888D-E8B6DE8889E9}"/>
  </hyperlinks>
  <pageMargins left="0.7" right="0.7" top="0.75" bottom="0.75" header="0.3" footer="0.3"/>
  <pageSetup orientation="portrait"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8" tint="0.79998168889431442"/>
  </sheetPr>
  <dimension ref="A1:AG38"/>
  <sheetViews>
    <sheetView zoomScale="90" zoomScaleNormal="90" workbookViewId="0">
      <selection activeCell="AC40" sqref="AC40"/>
    </sheetView>
  </sheetViews>
  <sheetFormatPr defaultRowHeight="12.75"/>
  <cols>
    <col min="1" max="2" width="9.140625" style="600"/>
    <col min="3" max="3" width="12.5703125" style="600" bestFit="1" customWidth="1"/>
    <col min="4" max="4" width="21.5703125" style="1113" customWidth="1"/>
    <col min="5" max="11" width="9.140625" style="600"/>
    <col min="12" max="12" width="9.140625" style="1114"/>
    <col min="13" max="31" width="9.140625" style="600"/>
    <col min="32" max="32" width="11.5703125" style="600" customWidth="1"/>
    <col min="33" max="16384" width="9.140625" style="600"/>
  </cols>
  <sheetData>
    <row r="1" spans="1:33" ht="15.75">
      <c r="A1" s="1239"/>
      <c r="B1" s="1366" t="s">
        <v>143</v>
      </c>
      <c r="C1" s="1239"/>
      <c r="D1" s="1307" t="s">
        <v>690</v>
      </c>
      <c r="E1" s="1239"/>
      <c r="F1" s="1239"/>
      <c r="G1" s="1366"/>
      <c r="H1" s="1239"/>
      <c r="I1" s="1239"/>
      <c r="J1" s="1239"/>
      <c r="K1" s="1239"/>
      <c r="L1" s="1239"/>
      <c r="M1" s="1239"/>
      <c r="N1" s="1216"/>
      <c r="O1" s="1216"/>
      <c r="P1" s="1216"/>
      <c r="Q1" s="1263"/>
      <c r="R1" s="1263"/>
      <c r="S1" s="1263"/>
      <c r="T1" s="1263"/>
      <c r="U1" s="1263"/>
      <c r="V1" s="1263"/>
      <c r="W1" s="1263"/>
      <c r="X1" s="1263"/>
      <c r="Y1" s="1263"/>
      <c r="Z1" s="1263"/>
      <c r="AA1" s="1263"/>
      <c r="AB1" s="1263"/>
      <c r="AC1" s="1263"/>
      <c r="AD1" s="1216"/>
      <c r="AE1" s="1216"/>
      <c r="AF1" s="1216"/>
      <c r="AG1"/>
    </row>
    <row r="2" spans="1:33" ht="16.5">
      <c r="A2" s="1512" t="s">
        <v>833</v>
      </c>
      <c r="B2" s="1512"/>
      <c r="C2" s="1512"/>
      <c r="D2" s="1512"/>
      <c r="E2" s="1512"/>
      <c r="F2" s="1512"/>
      <c r="G2" s="1512"/>
      <c r="H2" s="1512"/>
      <c r="I2" s="1512"/>
      <c r="J2" s="1512"/>
      <c r="K2" s="1512"/>
      <c r="L2" s="1512"/>
      <c r="M2" s="1512"/>
      <c r="N2" s="1512"/>
      <c r="O2" s="1512"/>
      <c r="P2" s="1512"/>
      <c r="Q2" s="1384">
        <v>1</v>
      </c>
      <c r="R2" s="1385" t="s">
        <v>818</v>
      </c>
      <c r="S2" s="1386"/>
      <c r="T2" s="1386"/>
      <c r="U2" s="1386"/>
      <c r="V2" s="1386"/>
      <c r="W2" s="1386"/>
      <c r="X2" s="1386"/>
      <c r="Y2" s="1386"/>
      <c r="Z2" s="1386"/>
      <c r="AA2" s="1386"/>
      <c r="AB2" s="1386"/>
      <c r="AC2" s="1386"/>
      <c r="AD2" s="1387"/>
      <c r="AE2" s="1387"/>
      <c r="AF2" s="1387"/>
      <c r="AG2"/>
    </row>
    <row r="3" spans="1:33" ht="15.75">
      <c r="A3" s="1513" t="s">
        <v>370</v>
      </c>
      <c r="B3" s="1513"/>
      <c r="C3" s="1513"/>
      <c r="D3" s="1513"/>
      <c r="E3" s="1513"/>
      <c r="F3" s="1513"/>
      <c r="G3" s="1513"/>
      <c r="H3" s="1513"/>
      <c r="I3" s="1513"/>
      <c r="J3" s="1513"/>
      <c r="K3" s="1513"/>
      <c r="L3" s="1513"/>
      <c r="M3" s="1513"/>
      <c r="N3" s="1513"/>
      <c r="O3" s="1513"/>
      <c r="P3" s="1513"/>
      <c r="Q3" s="1384">
        <v>2</v>
      </c>
      <c r="R3" s="1388" t="s">
        <v>698</v>
      </c>
      <c r="S3" s="1389"/>
      <c r="T3" s="1389"/>
      <c r="U3" s="1389"/>
      <c r="V3" s="1389"/>
      <c r="W3" s="1389"/>
      <c r="X3" s="1389"/>
      <c r="Y3" s="1389"/>
      <c r="Z3" s="1389"/>
      <c r="AA3" s="1389"/>
      <c r="AB3" s="1389"/>
      <c r="AC3" s="1389"/>
      <c r="AD3" s="1387"/>
      <c r="AE3" s="1387"/>
      <c r="AF3" s="1387"/>
      <c r="AG3"/>
    </row>
    <row r="4" spans="1:33" ht="15.75">
      <c r="A4" s="1263"/>
      <c r="B4" s="1308"/>
      <c r="C4" s="1309"/>
      <c r="D4" s="1309"/>
      <c r="E4" s="1309"/>
      <c r="F4" s="1309"/>
      <c r="G4" s="1309"/>
      <c r="H4" s="1310"/>
      <c r="I4" s="1310"/>
      <c r="J4" s="1309"/>
      <c r="K4" s="1309"/>
      <c r="L4" s="1309"/>
      <c r="M4" s="1309"/>
      <c r="N4" s="1216"/>
      <c r="O4" s="1216"/>
      <c r="P4" s="1216"/>
      <c r="Q4" s="1384"/>
      <c r="R4" s="1388" t="s">
        <v>699</v>
      </c>
      <c r="S4" s="1389"/>
      <c r="T4" s="1389"/>
      <c r="U4" s="1389"/>
      <c r="V4" s="1389"/>
      <c r="W4" s="1389"/>
      <c r="X4" s="1389"/>
      <c r="Y4" s="1389"/>
      <c r="Z4" s="1389"/>
      <c r="AA4" s="1389"/>
      <c r="AB4" s="1389"/>
      <c r="AC4" s="1389"/>
      <c r="AD4" s="1387"/>
      <c r="AE4" s="1387"/>
      <c r="AF4" s="1387"/>
      <c r="AG4"/>
    </row>
    <row r="5" spans="1:33" ht="15.75">
      <c r="A5" s="1263"/>
      <c r="B5" s="1311"/>
      <c r="C5" s="1312"/>
      <c r="D5" s="1312"/>
      <c r="E5" s="1312"/>
      <c r="F5" s="1312"/>
      <c r="G5" s="1312"/>
      <c r="H5" s="1312"/>
      <c r="I5" s="1312"/>
      <c r="J5" s="1313"/>
      <c r="K5" s="1313"/>
      <c r="L5" s="1313"/>
      <c r="M5" s="1276"/>
      <c r="N5" s="1216"/>
      <c r="O5" s="1216"/>
      <c r="P5" s="1216"/>
      <c r="Q5" s="1390"/>
      <c r="R5" s="1388" t="s">
        <v>700</v>
      </c>
      <c r="S5" s="1389"/>
      <c r="T5" s="1389"/>
      <c r="U5" s="1389"/>
      <c r="V5" s="1389"/>
      <c r="W5" s="1389"/>
      <c r="X5" s="1389"/>
      <c r="Y5" s="1389"/>
      <c r="Z5" s="1389"/>
      <c r="AA5" s="1389"/>
      <c r="AB5" s="1389"/>
      <c r="AC5" s="1389"/>
      <c r="AD5" s="1387"/>
      <c r="AE5" s="1387"/>
      <c r="AF5" s="1387"/>
      <c r="AG5"/>
    </row>
    <row r="6" spans="1:33" ht="15.75">
      <c r="A6" s="1263"/>
      <c r="B6" s="1314"/>
      <c r="C6" s="1274"/>
      <c r="D6" s="1274"/>
      <c r="E6" s="1274"/>
      <c r="F6" s="1274"/>
      <c r="G6" s="1274"/>
      <c r="H6" s="1274"/>
      <c r="I6" s="1276"/>
      <c r="J6" s="1315"/>
      <c r="K6" s="1275"/>
      <c r="L6" s="1275"/>
      <c r="M6" s="1276"/>
      <c r="N6" s="1216"/>
      <c r="O6" s="1216"/>
      <c r="P6" s="1216"/>
      <c r="Q6" s="1384">
        <v>3</v>
      </c>
      <c r="R6" s="1388" t="s">
        <v>701</v>
      </c>
      <c r="S6" s="1389"/>
      <c r="T6" s="1389"/>
      <c r="U6" s="1389"/>
      <c r="V6" s="1389"/>
      <c r="W6" s="1389"/>
      <c r="X6" s="1389"/>
      <c r="Y6" s="1389"/>
      <c r="Z6" s="1389"/>
      <c r="AA6" s="1389"/>
      <c r="AB6" s="1389"/>
      <c r="AC6" s="1389"/>
      <c r="AD6" s="1387"/>
      <c r="AE6" s="1387"/>
      <c r="AF6" s="1387"/>
      <c r="AG6"/>
    </row>
    <row r="7" spans="1:33">
      <c r="A7" s="1316"/>
      <c r="B7" s="1317" t="s">
        <v>766</v>
      </c>
      <c r="C7" s="1318" t="s">
        <v>767</v>
      </c>
      <c r="D7" s="1319"/>
      <c r="E7" s="1320"/>
      <c r="F7" s="1321"/>
      <c r="G7" s="1322"/>
      <c r="H7" s="1319"/>
      <c r="I7" s="1319"/>
      <c r="J7" s="1319"/>
      <c r="K7" s="1323"/>
      <c r="L7" s="1318" t="s">
        <v>372</v>
      </c>
      <c r="M7" s="1324" t="s">
        <v>373</v>
      </c>
      <c r="N7" s="1216"/>
      <c r="O7" s="1216"/>
      <c r="P7" s="1216"/>
      <c r="Q7" s="1391"/>
      <c r="R7" s="1388" t="s">
        <v>702</v>
      </c>
      <c r="S7" s="1392"/>
      <c r="T7" s="1392"/>
      <c r="U7" s="1392"/>
      <c r="V7" s="1392"/>
      <c r="W7" s="1392"/>
      <c r="X7" s="1392"/>
      <c r="Y7" s="1392"/>
      <c r="Z7" s="1392"/>
      <c r="AA7" s="1392"/>
      <c r="AB7" s="1392"/>
      <c r="AC7" s="1392"/>
      <c r="AD7" s="1387"/>
      <c r="AE7" s="1387"/>
      <c r="AF7" s="1387"/>
      <c r="AG7"/>
    </row>
    <row r="8" spans="1:33" ht="15.75">
      <c r="A8" s="1316"/>
      <c r="B8" s="1325" t="s">
        <v>768</v>
      </c>
      <c r="C8" s="1326" t="s">
        <v>374</v>
      </c>
      <c r="D8" s="1326" t="s">
        <v>375</v>
      </c>
      <c r="E8" s="1326" t="s">
        <v>108</v>
      </c>
      <c r="F8" s="1326"/>
      <c r="G8" s="1380"/>
      <c r="H8" s="1326" t="s">
        <v>376</v>
      </c>
      <c r="I8" s="1326" t="s">
        <v>105</v>
      </c>
      <c r="J8" s="1326" t="s">
        <v>160</v>
      </c>
      <c r="K8" s="1326" t="s">
        <v>377</v>
      </c>
      <c r="L8" s="1326" t="s">
        <v>378</v>
      </c>
      <c r="M8" s="1327" t="s">
        <v>378</v>
      </c>
      <c r="N8" s="1216"/>
      <c r="O8" s="1216"/>
      <c r="P8" s="1216"/>
      <c r="Q8" s="1384">
        <v>4</v>
      </c>
      <c r="R8" s="1385" t="s">
        <v>771</v>
      </c>
      <c r="S8" s="1392"/>
      <c r="T8" s="1392"/>
      <c r="U8" s="1392"/>
      <c r="V8" s="1392"/>
      <c r="W8" s="1392"/>
      <c r="X8" s="1392"/>
      <c r="Y8" s="1392"/>
      <c r="Z8" s="1392"/>
      <c r="AA8" s="1392"/>
      <c r="AB8" s="1392"/>
      <c r="AC8" s="1392"/>
      <c r="AD8" s="1387"/>
      <c r="AE8" s="1387"/>
      <c r="AF8" s="1387"/>
      <c r="AG8"/>
    </row>
    <row r="9" spans="1:33" ht="15.75">
      <c r="A9" s="1328"/>
      <c r="B9" s="1329"/>
      <c r="C9" s="1330"/>
      <c r="D9" s="1331"/>
      <c r="E9" s="1330"/>
      <c r="F9" s="1330"/>
      <c r="G9" s="1330"/>
      <c r="H9" s="1332"/>
      <c r="I9" s="1332"/>
      <c r="J9" s="1332"/>
      <c r="K9" s="1333"/>
      <c r="L9" s="1333"/>
      <c r="M9" s="1334"/>
      <c r="N9" s="1216"/>
      <c r="O9" s="1216"/>
      <c r="P9" s="1216"/>
      <c r="Q9" s="1390"/>
      <c r="R9" s="1385" t="s">
        <v>772</v>
      </c>
      <c r="S9" s="1392"/>
      <c r="T9" s="1392"/>
      <c r="U9" s="1392"/>
      <c r="V9" s="1392"/>
      <c r="W9" s="1392"/>
      <c r="X9" s="1392"/>
      <c r="Y9" s="1392"/>
      <c r="Z9" s="1392"/>
      <c r="AA9" s="1392"/>
      <c r="AB9" s="1392"/>
      <c r="AC9" s="1392"/>
      <c r="AD9" s="1387" t="s">
        <v>143</v>
      </c>
      <c r="AE9" s="1387"/>
      <c r="AF9" s="1387"/>
      <c r="AG9"/>
    </row>
    <row r="10" spans="1:33" ht="15.75">
      <c r="A10" s="1335" t="s">
        <v>834</v>
      </c>
      <c r="B10" s="1245" t="s">
        <v>743</v>
      </c>
      <c r="C10" s="1246" t="s">
        <v>380</v>
      </c>
      <c r="D10" s="1247" t="s">
        <v>835</v>
      </c>
      <c r="E10" s="1248" t="s">
        <v>676</v>
      </c>
      <c r="F10" s="1249"/>
      <c r="G10" s="1249"/>
      <c r="H10" s="1250" t="s">
        <v>25</v>
      </c>
      <c r="I10" s="1250" t="s">
        <v>25</v>
      </c>
      <c r="J10" s="1250" t="s">
        <v>25</v>
      </c>
      <c r="K10" s="1250"/>
      <c r="L10" s="1250"/>
      <c r="M10" s="1251" t="s">
        <v>25</v>
      </c>
      <c r="N10" s="1216"/>
      <c r="O10" s="1216"/>
      <c r="P10" s="1216"/>
      <c r="Q10" s="1390"/>
      <c r="R10" s="1385" t="s">
        <v>728</v>
      </c>
      <c r="S10" s="1392"/>
      <c r="T10" s="1392"/>
      <c r="U10" s="1392"/>
      <c r="V10" s="1392"/>
      <c r="W10" s="1392"/>
      <c r="X10" s="1392"/>
      <c r="Y10" s="1392"/>
      <c r="Z10" s="1392"/>
      <c r="AA10" s="1392"/>
      <c r="AB10" s="1392"/>
      <c r="AC10" s="1392"/>
      <c r="AD10" s="1387"/>
      <c r="AE10" s="1387"/>
      <c r="AF10" s="1387"/>
      <c r="AG10"/>
    </row>
    <row r="11" spans="1:33" ht="15.75">
      <c r="A11" s="1335" t="s">
        <v>836</v>
      </c>
      <c r="B11" s="1245" t="s">
        <v>744</v>
      </c>
      <c r="C11" s="1246" t="s">
        <v>384</v>
      </c>
      <c r="D11" s="1252" t="s">
        <v>691</v>
      </c>
      <c r="E11" s="1248" t="s">
        <v>386</v>
      </c>
      <c r="F11" s="1249"/>
      <c r="G11" s="1249"/>
      <c r="H11" s="1253">
        <v>2</v>
      </c>
      <c r="I11" s="1250" t="s">
        <v>25</v>
      </c>
      <c r="J11" s="1250" t="s">
        <v>25</v>
      </c>
      <c r="K11" s="1250"/>
      <c r="L11" s="1250"/>
      <c r="M11" s="1251"/>
      <c r="N11" s="1216"/>
      <c r="O11" s="1216"/>
      <c r="P11" s="1216"/>
      <c r="Q11" s="1390">
        <v>5</v>
      </c>
      <c r="R11" s="1386" t="s">
        <v>703</v>
      </c>
      <c r="S11" s="1392"/>
      <c r="T11" s="1392"/>
      <c r="U11" s="1392"/>
      <c r="V11" s="1392"/>
      <c r="W11" s="1392"/>
      <c r="X11" s="1392"/>
      <c r="Y11" s="1392"/>
      <c r="Z11" s="1392"/>
      <c r="AA11" s="1392"/>
      <c r="AB11" s="1392"/>
      <c r="AC11" s="1392"/>
      <c r="AD11" s="1387"/>
      <c r="AE11" s="1387"/>
      <c r="AF11" s="1387"/>
      <c r="AG11"/>
    </row>
    <row r="12" spans="1:33" ht="15.75">
      <c r="A12" s="1335" t="s">
        <v>836</v>
      </c>
      <c r="B12" s="1245" t="s">
        <v>744</v>
      </c>
      <c r="C12" s="1246" t="s">
        <v>387</v>
      </c>
      <c r="D12" s="1252" t="s">
        <v>692</v>
      </c>
      <c r="E12" s="1248" t="s">
        <v>389</v>
      </c>
      <c r="F12" s="1249"/>
      <c r="G12" s="1249"/>
      <c r="H12" s="1253">
        <v>2</v>
      </c>
      <c r="I12" s="1250" t="s">
        <v>25</v>
      </c>
      <c r="J12" s="1250" t="s">
        <v>25</v>
      </c>
      <c r="K12" s="1250"/>
      <c r="L12" s="1250"/>
      <c r="M12" s="1251"/>
      <c r="N12" s="1216"/>
      <c r="O12" s="1216"/>
      <c r="P12" s="1216"/>
      <c r="Q12" s="1390"/>
      <c r="R12" s="1385" t="s">
        <v>704</v>
      </c>
      <c r="S12" s="1392"/>
      <c r="T12" s="1392"/>
      <c r="U12" s="1392"/>
      <c r="V12" s="1392"/>
      <c r="W12" s="1392"/>
      <c r="X12" s="1392"/>
      <c r="Y12" s="1392"/>
      <c r="Z12" s="1392"/>
      <c r="AA12" s="1392"/>
      <c r="AB12" s="1392"/>
      <c r="AC12" s="1392"/>
      <c r="AD12" s="1387"/>
      <c r="AE12" s="1385"/>
      <c r="AF12" s="1392"/>
      <c r="AG12"/>
    </row>
    <row r="13" spans="1:33" ht="15.75">
      <c r="A13" s="1335" t="s">
        <v>836</v>
      </c>
      <c r="B13" s="1245" t="s">
        <v>744</v>
      </c>
      <c r="C13" s="1246" t="s">
        <v>390</v>
      </c>
      <c r="D13" s="1252" t="s">
        <v>693</v>
      </c>
      <c r="E13" s="1248" t="s">
        <v>392</v>
      </c>
      <c r="F13" s="1249"/>
      <c r="G13" s="1249"/>
      <c r="H13" s="1253">
        <v>2</v>
      </c>
      <c r="I13" s="1250" t="s">
        <v>25</v>
      </c>
      <c r="J13" s="1250" t="s">
        <v>25</v>
      </c>
      <c r="K13" s="1250"/>
      <c r="L13" s="1250"/>
      <c r="M13" s="1251"/>
      <c r="N13" s="1216"/>
      <c r="O13" s="1216"/>
      <c r="P13" s="1216"/>
      <c r="Q13" s="1390">
        <v>6</v>
      </c>
      <c r="R13" s="1388" t="s">
        <v>708</v>
      </c>
      <c r="S13" s="1392"/>
      <c r="T13" s="1392"/>
      <c r="U13" s="1392"/>
      <c r="V13" s="1392"/>
      <c r="W13" s="1392"/>
      <c r="X13" s="1392"/>
      <c r="Y13" s="1392"/>
      <c r="Z13" s="1392"/>
      <c r="AA13" s="1392"/>
      <c r="AB13" s="1392"/>
      <c r="AC13" s="1392"/>
      <c r="AD13" s="1387"/>
      <c r="AE13" s="1387"/>
      <c r="AF13" s="1387"/>
      <c r="AG13"/>
    </row>
    <row r="14" spans="1:33" ht="15.75">
      <c r="A14" s="1335">
        <v>3</v>
      </c>
      <c r="B14" s="1245" t="s">
        <v>744</v>
      </c>
      <c r="C14" s="1246" t="s">
        <v>393</v>
      </c>
      <c r="D14" s="1252" t="s">
        <v>394</v>
      </c>
      <c r="E14" s="1248" t="s">
        <v>837</v>
      </c>
      <c r="F14" s="1249"/>
      <c r="G14" s="1249"/>
      <c r="H14" s="1250" t="s">
        <v>25</v>
      </c>
      <c r="I14" s="1250" t="s">
        <v>25</v>
      </c>
      <c r="J14" s="1250" t="s">
        <v>25</v>
      </c>
      <c r="K14" s="1250"/>
      <c r="L14" s="1250"/>
      <c r="M14" s="1251"/>
      <c r="N14" s="1216"/>
      <c r="O14" s="1216"/>
      <c r="P14" s="1216"/>
      <c r="Q14" s="1384">
        <v>7</v>
      </c>
      <c r="R14" s="1388" t="s">
        <v>820</v>
      </c>
      <c r="S14" s="1392"/>
      <c r="T14" s="1392"/>
      <c r="U14" s="1392"/>
      <c r="V14" s="1392"/>
      <c r="W14" s="1392"/>
      <c r="X14" s="1392"/>
      <c r="Y14" s="1392"/>
      <c r="Z14" s="1392"/>
      <c r="AA14" s="1392"/>
      <c r="AB14" s="1392"/>
      <c r="AC14" s="1392"/>
      <c r="AD14" s="1387"/>
      <c r="AE14" s="1387"/>
      <c r="AF14" s="1387"/>
      <c r="AG14"/>
    </row>
    <row r="15" spans="1:33" ht="15.75">
      <c r="A15" s="1335">
        <v>3</v>
      </c>
      <c r="B15" s="1245" t="s">
        <v>744</v>
      </c>
      <c r="C15" s="1246" t="s">
        <v>396</v>
      </c>
      <c r="D15" s="1252" t="s">
        <v>397</v>
      </c>
      <c r="E15" s="1248" t="s">
        <v>837</v>
      </c>
      <c r="F15" s="1249"/>
      <c r="G15" s="1249"/>
      <c r="H15" s="1250" t="s">
        <v>25</v>
      </c>
      <c r="I15" s="1250" t="s">
        <v>25</v>
      </c>
      <c r="J15" s="1250" t="s">
        <v>25</v>
      </c>
      <c r="K15" s="1250"/>
      <c r="L15" s="1250"/>
      <c r="M15" s="1251"/>
      <c r="N15" s="1216"/>
      <c r="O15" s="1216"/>
      <c r="P15" s="1216"/>
      <c r="Q15" s="1390"/>
      <c r="R15" s="1385" t="s">
        <v>739</v>
      </c>
      <c r="S15" s="1392"/>
      <c r="T15" s="1392"/>
      <c r="U15" s="1392"/>
      <c r="V15" s="1392"/>
      <c r="W15" s="1392"/>
      <c r="X15" s="1392"/>
      <c r="Y15" s="1392"/>
      <c r="Z15" s="1392"/>
      <c r="AA15" s="1392"/>
      <c r="AB15" s="1392"/>
      <c r="AC15" s="1392"/>
      <c r="AD15" s="1387"/>
      <c r="AE15" s="1387"/>
      <c r="AF15" s="1387"/>
      <c r="AG15"/>
    </row>
    <row r="16" spans="1:33" ht="15.75">
      <c r="A16" s="1335">
        <v>3</v>
      </c>
      <c r="B16" s="1245" t="s">
        <v>744</v>
      </c>
      <c r="C16" s="1246" t="s">
        <v>399</v>
      </c>
      <c r="D16" s="1252" t="s">
        <v>400</v>
      </c>
      <c r="E16" s="1254" t="s">
        <v>837</v>
      </c>
      <c r="F16" s="1249"/>
      <c r="G16" s="1249"/>
      <c r="H16" s="1250" t="s">
        <v>25</v>
      </c>
      <c r="I16" s="1250" t="s">
        <v>25</v>
      </c>
      <c r="J16" s="1250" t="s">
        <v>25</v>
      </c>
      <c r="K16" s="1250"/>
      <c r="L16" s="1250"/>
      <c r="M16" s="1251"/>
      <c r="N16" s="1216"/>
      <c r="O16" s="1216"/>
      <c r="P16" s="1216"/>
      <c r="Q16" s="1390">
        <v>8</v>
      </c>
      <c r="R16" s="1388" t="s">
        <v>753</v>
      </c>
      <c r="S16" s="1392"/>
      <c r="T16" s="1392"/>
      <c r="U16" s="1392"/>
      <c r="V16" s="1392"/>
      <c r="W16" s="1392"/>
      <c r="X16" s="1392"/>
      <c r="Y16" s="1392"/>
      <c r="Z16" s="1392"/>
      <c r="AA16" s="1392"/>
      <c r="AB16" s="1392"/>
      <c r="AC16" s="1392"/>
      <c r="AD16" s="1387"/>
      <c r="AE16" s="1387"/>
      <c r="AF16" s="1387"/>
      <c r="AG16"/>
    </row>
    <row r="17" spans="1:33" ht="15.75">
      <c r="A17" s="1335">
        <v>4</v>
      </c>
      <c r="B17" s="1245" t="s">
        <v>745</v>
      </c>
      <c r="C17" s="1246" t="s">
        <v>401</v>
      </c>
      <c r="D17" s="1252" t="s">
        <v>402</v>
      </c>
      <c r="E17" s="1248" t="s">
        <v>769</v>
      </c>
      <c r="F17" s="1249"/>
      <c r="G17" s="1249"/>
      <c r="H17" s="1250" t="s">
        <v>25</v>
      </c>
      <c r="I17" s="1250" t="s">
        <v>25</v>
      </c>
      <c r="J17" s="1250" t="s">
        <v>25</v>
      </c>
      <c r="K17" s="1250" t="s">
        <v>25</v>
      </c>
      <c r="L17" s="1250" t="s">
        <v>25</v>
      </c>
      <c r="M17" s="1251" t="s">
        <v>25</v>
      </c>
      <c r="N17" s="1216"/>
      <c r="O17" s="1216"/>
      <c r="P17" s="1216"/>
      <c r="Q17" s="1384">
        <v>9</v>
      </c>
      <c r="R17" s="1385" t="s">
        <v>705</v>
      </c>
      <c r="S17" s="1392"/>
      <c r="T17" s="1392"/>
      <c r="U17" s="1392"/>
      <c r="V17" s="1392"/>
      <c r="W17" s="1392"/>
      <c r="X17" s="1392"/>
      <c r="Y17" s="1392"/>
      <c r="Z17" s="1392"/>
      <c r="AA17" s="1392"/>
      <c r="AB17" s="1392"/>
      <c r="AC17" s="1392"/>
      <c r="AD17" s="1387"/>
      <c r="AE17" s="1385"/>
      <c r="AF17" s="1392"/>
      <c r="AG17"/>
    </row>
    <row r="18" spans="1:33" ht="15.75">
      <c r="A18" s="1335">
        <v>5</v>
      </c>
      <c r="B18" s="1245" t="s">
        <v>744</v>
      </c>
      <c r="C18" s="1246" t="s">
        <v>404</v>
      </c>
      <c r="D18" s="1252" t="s">
        <v>405</v>
      </c>
      <c r="E18" s="1248" t="s">
        <v>838</v>
      </c>
      <c r="F18" s="1249"/>
      <c r="G18" s="1249"/>
      <c r="H18" s="1250" t="s">
        <v>25</v>
      </c>
      <c r="I18" s="1250" t="s">
        <v>25</v>
      </c>
      <c r="J18" s="1250" t="s">
        <v>25</v>
      </c>
      <c r="K18" s="1250"/>
      <c r="L18" s="1250"/>
      <c r="M18" s="1251" t="s">
        <v>25</v>
      </c>
      <c r="N18" s="1216"/>
      <c r="O18" s="1216"/>
      <c r="P18" s="1216"/>
      <c r="Q18" s="1386"/>
      <c r="R18" s="1385" t="s">
        <v>706</v>
      </c>
      <c r="S18" s="1392"/>
      <c r="T18" s="1392"/>
      <c r="U18" s="1392"/>
      <c r="V18" s="1392"/>
      <c r="W18" s="1392"/>
      <c r="X18" s="1392"/>
      <c r="Y18" s="1392"/>
      <c r="Z18" s="1392"/>
      <c r="AA18" s="1392"/>
      <c r="AB18" s="1392"/>
      <c r="AC18" s="1392"/>
      <c r="AD18" s="1387"/>
      <c r="AE18" s="1385"/>
      <c r="AF18" s="1392"/>
      <c r="AG18"/>
    </row>
    <row r="19" spans="1:33" ht="15.75">
      <c r="A19" s="1335">
        <v>5</v>
      </c>
      <c r="B19" s="1245" t="s">
        <v>744</v>
      </c>
      <c r="C19" s="1246" t="s">
        <v>674</v>
      </c>
      <c r="D19" s="1252" t="s">
        <v>677</v>
      </c>
      <c r="E19" s="1248" t="s">
        <v>839</v>
      </c>
      <c r="F19" s="1249"/>
      <c r="G19" s="1249"/>
      <c r="H19" s="1250" t="s">
        <v>143</v>
      </c>
      <c r="I19" s="1250" t="s">
        <v>25</v>
      </c>
      <c r="J19" s="1250" t="s">
        <v>143</v>
      </c>
      <c r="K19" s="1250"/>
      <c r="L19" s="1250"/>
      <c r="M19" s="1251"/>
      <c r="N19" s="1216"/>
      <c r="O19" s="1216" t="s">
        <v>143</v>
      </c>
      <c r="P19" s="1216"/>
      <c r="Q19" s="1386"/>
      <c r="R19" s="1393" t="s">
        <v>846</v>
      </c>
      <c r="S19" s="1388"/>
      <c r="T19" s="1388"/>
      <c r="U19" s="1388"/>
      <c r="V19" s="1388"/>
      <c r="W19" s="1388"/>
      <c r="X19" s="1388"/>
      <c r="Y19" s="1388"/>
      <c r="Z19" s="1388"/>
      <c r="AA19" s="1388"/>
      <c r="AB19" s="1388"/>
      <c r="AC19" s="1388"/>
      <c r="AD19" s="1388"/>
      <c r="AE19" s="1388"/>
      <c r="AF19" s="1388"/>
      <c r="AG19"/>
    </row>
    <row r="20" spans="1:33" ht="15.75">
      <c r="A20" s="1271">
        <v>6</v>
      </c>
      <c r="B20" s="1245" t="s">
        <v>746</v>
      </c>
      <c r="C20" s="1246" t="s">
        <v>410</v>
      </c>
      <c r="D20" s="1252" t="s">
        <v>411</v>
      </c>
      <c r="E20" s="1248" t="s">
        <v>412</v>
      </c>
      <c r="F20" s="1249"/>
      <c r="G20" s="1249"/>
      <c r="H20" s="1250" t="s">
        <v>25</v>
      </c>
      <c r="I20" s="1250" t="s">
        <v>25</v>
      </c>
      <c r="J20" s="1250" t="s">
        <v>25</v>
      </c>
      <c r="K20" s="1250"/>
      <c r="L20" s="1250"/>
      <c r="M20" s="1251" t="s">
        <v>25</v>
      </c>
      <c r="N20" s="1216"/>
      <c r="O20" s="1216"/>
      <c r="P20" s="1216"/>
      <c r="Q20" s="1390">
        <v>10</v>
      </c>
      <c r="R20" s="1388" t="s">
        <v>822</v>
      </c>
      <c r="S20" s="1392"/>
      <c r="T20" s="1392"/>
      <c r="U20" s="1392"/>
      <c r="V20" s="1392"/>
      <c r="W20" s="1392"/>
      <c r="X20" s="1392"/>
      <c r="Y20" s="1392"/>
      <c r="Z20" s="1392"/>
      <c r="AA20" s="1392"/>
      <c r="AB20" s="1392"/>
      <c r="AC20" s="1392"/>
      <c r="AD20" s="1387"/>
      <c r="AE20" s="1387"/>
      <c r="AF20" s="1387"/>
      <c r="AG20"/>
    </row>
    <row r="21" spans="1:33" ht="15.75">
      <c r="A21" s="1271"/>
      <c r="B21" s="1245" t="s">
        <v>744</v>
      </c>
      <c r="C21" s="1246" t="s">
        <v>413</v>
      </c>
      <c r="D21" s="1252" t="s">
        <v>414</v>
      </c>
      <c r="E21" s="1248" t="s">
        <v>747</v>
      </c>
      <c r="F21" s="1249"/>
      <c r="G21" s="1249"/>
      <c r="H21" s="1250" t="s">
        <v>25</v>
      </c>
      <c r="I21" s="1250"/>
      <c r="J21" s="1250" t="s">
        <v>25</v>
      </c>
      <c r="K21" s="1250"/>
      <c r="L21" s="1250"/>
      <c r="M21" s="1251"/>
      <c r="N21" s="1216"/>
      <c r="O21" s="1216"/>
      <c r="P21" s="1216"/>
      <c r="Q21" s="1390">
        <v>11</v>
      </c>
      <c r="R21" s="1388" t="s">
        <v>826</v>
      </c>
      <c r="S21" s="1388"/>
      <c r="T21" s="1388"/>
      <c r="U21" s="1388"/>
      <c r="V21" s="1388"/>
      <c r="W21" s="1388"/>
      <c r="X21" s="1388"/>
      <c r="Y21" s="1388"/>
      <c r="Z21" s="1388"/>
      <c r="AA21" s="1388"/>
      <c r="AB21" s="1388"/>
      <c r="AC21" s="1388"/>
      <c r="AD21" s="1388"/>
      <c r="AE21" s="1388"/>
      <c r="AF21" s="1388"/>
      <c r="AG21"/>
    </row>
    <row r="22" spans="1:33" ht="15.75">
      <c r="A22" s="1271">
        <v>7</v>
      </c>
      <c r="B22" s="1245" t="s">
        <v>744</v>
      </c>
      <c r="C22" s="1246" t="s">
        <v>416</v>
      </c>
      <c r="D22" s="1252" t="s">
        <v>394</v>
      </c>
      <c r="E22" s="1254" t="s">
        <v>837</v>
      </c>
      <c r="F22" s="1249"/>
      <c r="G22" s="1249"/>
      <c r="H22" s="1250"/>
      <c r="I22" s="1250"/>
      <c r="J22" s="1250"/>
      <c r="K22" s="1250"/>
      <c r="L22" s="1250"/>
      <c r="M22" s="1251" t="s">
        <v>25</v>
      </c>
      <c r="N22" s="1216"/>
      <c r="O22" s="1216"/>
      <c r="P22" s="1216"/>
      <c r="Q22" s="1390"/>
      <c r="R22" s="1388" t="s">
        <v>740</v>
      </c>
      <c r="S22" s="1388"/>
      <c r="T22" s="1388"/>
      <c r="U22" s="1388"/>
      <c r="V22" s="1388"/>
      <c r="W22" s="1388"/>
      <c r="X22" s="1388"/>
      <c r="Y22" s="1388"/>
      <c r="Z22" s="1388"/>
      <c r="AA22" s="1388"/>
      <c r="AB22" s="1388"/>
      <c r="AC22" s="1388"/>
      <c r="AD22" s="1388"/>
      <c r="AE22" s="1388"/>
      <c r="AF22" s="1388"/>
      <c r="AG22"/>
    </row>
    <row r="23" spans="1:33" ht="15.75">
      <c r="A23" s="1271">
        <v>7</v>
      </c>
      <c r="B23" s="1245" t="s">
        <v>744</v>
      </c>
      <c r="C23" s="1246" t="s">
        <v>417</v>
      </c>
      <c r="D23" s="1252" t="s">
        <v>397</v>
      </c>
      <c r="E23" s="1248" t="s">
        <v>837</v>
      </c>
      <c r="F23" s="1249"/>
      <c r="G23" s="1249"/>
      <c r="H23" s="1250"/>
      <c r="I23" s="1250"/>
      <c r="J23" s="1250"/>
      <c r="K23" s="1250"/>
      <c r="L23" s="1250"/>
      <c r="M23" s="1251" t="s">
        <v>25</v>
      </c>
      <c r="N23" s="1216"/>
      <c r="O23" s="1216"/>
      <c r="P23" s="1216"/>
      <c r="Q23" s="1390"/>
      <c r="R23" s="1394" t="s">
        <v>672</v>
      </c>
      <c r="S23" s="1395"/>
      <c r="T23" s="1395"/>
      <c r="U23" s="1395"/>
      <c r="V23" s="1395"/>
      <c r="W23" s="1395"/>
      <c r="X23" s="1395"/>
      <c r="Y23" s="1393" t="s">
        <v>707</v>
      </c>
      <c r="Z23" s="1395"/>
      <c r="AA23" s="1395"/>
      <c r="AB23" s="1395"/>
      <c r="AC23" s="1395"/>
      <c r="AD23" s="1388"/>
      <c r="AE23" s="1388"/>
      <c r="AF23" s="1388"/>
      <c r="AG23"/>
    </row>
    <row r="24" spans="1:33" ht="15.75">
      <c r="A24" s="1271">
        <v>7</v>
      </c>
      <c r="B24" s="1245" t="s">
        <v>744</v>
      </c>
      <c r="C24" s="1246" t="s">
        <v>675</v>
      </c>
      <c r="D24" s="1252" t="s">
        <v>400</v>
      </c>
      <c r="E24" s="1248" t="s">
        <v>837</v>
      </c>
      <c r="F24" s="1249"/>
      <c r="G24" s="1249"/>
      <c r="H24" s="1250"/>
      <c r="I24" s="1250"/>
      <c r="J24" s="1250"/>
      <c r="K24" s="1250"/>
      <c r="L24" s="1250"/>
      <c r="M24" s="1251" t="s">
        <v>25</v>
      </c>
      <c r="N24" s="1216"/>
      <c r="O24" s="1216"/>
      <c r="P24" s="1216"/>
      <c r="Q24" s="1390">
        <v>12</v>
      </c>
      <c r="R24" s="1388" t="s">
        <v>824</v>
      </c>
      <c r="S24" s="1392"/>
      <c r="T24" s="1392"/>
      <c r="U24" s="1392"/>
      <c r="V24" s="1392"/>
      <c r="W24" s="1392"/>
      <c r="X24" s="1392"/>
      <c r="Y24" s="1392"/>
      <c r="Z24" s="1392"/>
      <c r="AA24" s="1392"/>
      <c r="AB24" s="1392"/>
      <c r="AC24" s="1392"/>
      <c r="AD24" s="1387"/>
      <c r="AE24" s="1387"/>
      <c r="AF24" s="1387"/>
      <c r="AG24"/>
    </row>
    <row r="25" spans="1:33" ht="15.75">
      <c r="A25" s="1335">
        <v>8</v>
      </c>
      <c r="B25" s="1245" t="s">
        <v>748</v>
      </c>
      <c r="C25" s="1246" t="s">
        <v>419</v>
      </c>
      <c r="D25" s="1252" t="s">
        <v>420</v>
      </c>
      <c r="E25" s="1248" t="s">
        <v>749</v>
      </c>
      <c r="F25" s="1249"/>
      <c r="G25" s="1249"/>
      <c r="H25" s="1250" t="s">
        <v>25</v>
      </c>
      <c r="I25" s="1250" t="s">
        <v>25</v>
      </c>
      <c r="J25" s="1250" t="s">
        <v>25</v>
      </c>
      <c r="K25" s="1250"/>
      <c r="L25" s="1250"/>
      <c r="M25" s="1251" t="s">
        <v>25</v>
      </c>
      <c r="N25" s="1216"/>
      <c r="O25" s="1216"/>
      <c r="P25" s="1216"/>
      <c r="Q25" s="1390">
        <v>13</v>
      </c>
      <c r="R25" s="1388" t="s">
        <v>709</v>
      </c>
      <c r="S25" s="1392"/>
      <c r="T25" s="1392"/>
      <c r="U25" s="1392"/>
      <c r="V25" s="1392"/>
      <c r="W25" s="1392"/>
      <c r="X25" s="1392"/>
      <c r="Y25" s="1392"/>
      <c r="Z25" s="1392"/>
      <c r="AA25" s="1392"/>
      <c r="AB25" s="1392"/>
      <c r="AC25" s="1392"/>
      <c r="AD25" s="1387"/>
      <c r="AE25" s="1387"/>
      <c r="AF25" s="1387"/>
      <c r="AG25"/>
    </row>
    <row r="26" spans="1:33" ht="15.75">
      <c r="A26" s="1335">
        <v>9</v>
      </c>
      <c r="B26" s="1245" t="s">
        <v>750</v>
      </c>
      <c r="C26" s="1246" t="s">
        <v>423</v>
      </c>
      <c r="D26" s="1252" t="s">
        <v>424</v>
      </c>
      <c r="E26" s="1254" t="s">
        <v>840</v>
      </c>
      <c r="F26" s="1249"/>
      <c r="G26" s="1249"/>
      <c r="H26" s="1250" t="s">
        <v>25</v>
      </c>
      <c r="I26" s="1250" t="s">
        <v>25</v>
      </c>
      <c r="J26" s="1250" t="s">
        <v>25</v>
      </c>
      <c r="K26" s="1250"/>
      <c r="L26" s="1250"/>
      <c r="M26" s="1251"/>
      <c r="N26" s="1216"/>
      <c r="O26" s="1216"/>
      <c r="P26" s="1216"/>
      <c r="Q26" s="1390">
        <v>14</v>
      </c>
      <c r="R26" s="1388" t="s">
        <v>710</v>
      </c>
      <c r="S26" s="1392"/>
      <c r="T26" s="1392"/>
      <c r="U26" s="1392"/>
      <c r="V26" s="1392"/>
      <c r="W26" s="1392"/>
      <c r="X26" s="1392"/>
      <c r="Y26" s="1392"/>
      <c r="Z26" s="1392"/>
      <c r="AA26" s="1392"/>
      <c r="AB26" s="1392"/>
      <c r="AC26" s="1392"/>
      <c r="AD26" s="1387"/>
      <c r="AE26" s="1387"/>
      <c r="AF26" s="1387"/>
      <c r="AG26"/>
    </row>
    <row r="27" spans="1:33" ht="15.75">
      <c r="A27" s="1273">
        <v>10</v>
      </c>
      <c r="B27" s="1245" t="s">
        <v>750</v>
      </c>
      <c r="C27" s="1246" t="s">
        <v>428</v>
      </c>
      <c r="D27" s="1252" t="s">
        <v>429</v>
      </c>
      <c r="E27" s="1248" t="s">
        <v>770</v>
      </c>
      <c r="F27" s="1249"/>
      <c r="G27" s="1249"/>
      <c r="H27" s="1250"/>
      <c r="I27" s="1250"/>
      <c r="J27" s="1250"/>
      <c r="K27" s="1250" t="s">
        <v>25</v>
      </c>
      <c r="L27" s="1250"/>
      <c r="M27" s="1251"/>
      <c r="N27" s="1216"/>
      <c r="O27" s="1216"/>
      <c r="P27" s="1216"/>
      <c r="Q27" s="1390" t="s">
        <v>143</v>
      </c>
      <c r="R27" s="1388" t="s">
        <v>711</v>
      </c>
      <c r="S27" s="1392"/>
      <c r="T27" s="1392"/>
      <c r="U27" s="1392"/>
      <c r="V27" s="1392"/>
      <c r="W27" s="1392"/>
      <c r="X27" s="1392"/>
      <c r="Y27" s="1392"/>
      <c r="Z27" s="1392"/>
      <c r="AA27" s="1392"/>
      <c r="AB27" s="1392"/>
      <c r="AC27" s="1392"/>
      <c r="AD27" s="1387"/>
      <c r="AE27" s="1387"/>
      <c r="AF27" s="1387"/>
      <c r="AG27"/>
    </row>
    <row r="28" spans="1:33" ht="15.75">
      <c r="A28" s="1335">
        <v>11</v>
      </c>
      <c r="B28" s="1245" t="s">
        <v>750</v>
      </c>
      <c r="C28" s="1246" t="s">
        <v>431</v>
      </c>
      <c r="D28" s="1252" t="s">
        <v>424</v>
      </c>
      <c r="E28" s="1254" t="s">
        <v>841</v>
      </c>
      <c r="F28" s="1249"/>
      <c r="G28" s="1249"/>
      <c r="H28" s="1250"/>
      <c r="I28" s="1250"/>
      <c r="J28" s="1250"/>
      <c r="K28" s="1250"/>
      <c r="L28" s="1250"/>
      <c r="M28" s="1251" t="s">
        <v>25</v>
      </c>
      <c r="N28" s="1216"/>
      <c r="O28" s="1216"/>
      <c r="P28" s="1216"/>
      <c r="Q28" s="1390"/>
      <c r="R28" s="1388" t="s">
        <v>678</v>
      </c>
      <c r="S28" s="1396"/>
      <c r="T28" s="1396"/>
      <c r="U28" s="1396"/>
      <c r="V28" s="1396"/>
      <c r="W28" s="1396" t="s">
        <v>143</v>
      </c>
      <c r="X28" s="1391"/>
      <c r="Y28" s="1394" t="s">
        <v>712</v>
      </c>
      <c r="Z28" s="1393"/>
      <c r="AA28" s="1393"/>
      <c r="AB28" s="1397"/>
      <c r="AC28" s="1398"/>
      <c r="AD28" s="1387"/>
      <c r="AE28" s="1387"/>
      <c r="AF28" s="1387"/>
      <c r="AG28"/>
    </row>
    <row r="29" spans="1:33" ht="15.75">
      <c r="A29" s="1335">
        <v>12</v>
      </c>
      <c r="B29" s="1245" t="s">
        <v>751</v>
      </c>
      <c r="C29" s="1246" t="s">
        <v>694</v>
      </c>
      <c r="D29" s="1252" t="s">
        <v>842</v>
      </c>
      <c r="E29" s="1254" t="s">
        <v>843</v>
      </c>
      <c r="F29" s="1249"/>
      <c r="G29" s="1249"/>
      <c r="H29" s="1250" t="s">
        <v>25</v>
      </c>
      <c r="I29" s="1250" t="s">
        <v>25</v>
      </c>
      <c r="J29" s="1250" t="s">
        <v>25</v>
      </c>
      <c r="K29" s="1250" t="s">
        <v>25</v>
      </c>
      <c r="L29" s="1250" t="s">
        <v>25</v>
      </c>
      <c r="M29" s="1251" t="s">
        <v>25</v>
      </c>
      <c r="N29" s="1216"/>
      <c r="O29" s="1216"/>
      <c r="P29" s="1216"/>
      <c r="Q29" s="1390"/>
      <c r="R29" s="1388" t="s">
        <v>679</v>
      </c>
      <c r="S29" s="1392"/>
      <c r="T29" s="1392"/>
      <c r="U29" s="1392"/>
      <c r="V29" s="1392"/>
      <c r="W29" s="1392"/>
      <c r="X29" s="1392"/>
      <c r="Y29" s="1394" t="s">
        <v>713</v>
      </c>
      <c r="Z29" s="1399"/>
      <c r="AA29" s="1399"/>
      <c r="AB29" s="1392"/>
      <c r="AC29" s="1392"/>
      <c r="AD29" s="1387"/>
      <c r="AE29" s="1387"/>
      <c r="AF29" s="1387"/>
      <c r="AG29"/>
    </row>
    <row r="30" spans="1:33" ht="15.75">
      <c r="A30" s="1335">
        <v>13</v>
      </c>
      <c r="B30" s="1255" t="s">
        <v>752</v>
      </c>
      <c r="C30" s="1256" t="s">
        <v>495</v>
      </c>
      <c r="D30" s="1257" t="s">
        <v>496</v>
      </c>
      <c r="E30" s="1258" t="s">
        <v>844</v>
      </c>
      <c r="F30" s="1259"/>
      <c r="G30" s="1259"/>
      <c r="H30" s="1260"/>
      <c r="I30" s="1260"/>
      <c r="J30" s="1260"/>
      <c r="K30" s="1260" t="s">
        <v>25</v>
      </c>
      <c r="L30" s="1260"/>
      <c r="M30" s="1261"/>
      <c r="N30" s="1216"/>
      <c r="O30" s="1216"/>
      <c r="P30" s="1216"/>
      <c r="Q30" s="1390"/>
      <c r="R30" s="1388" t="s">
        <v>714</v>
      </c>
      <c r="S30" s="1392"/>
      <c r="T30" s="1392"/>
      <c r="U30" s="1392"/>
      <c r="V30" s="1392"/>
      <c r="W30" s="1392"/>
      <c r="X30" s="1392"/>
      <c r="Y30" s="1394"/>
      <c r="Z30" s="1399"/>
      <c r="AA30" s="1399"/>
      <c r="AB30" s="1392"/>
      <c r="AC30" s="1392"/>
      <c r="AD30" s="1387"/>
      <c r="AE30" s="1387"/>
      <c r="AF30" s="1387"/>
      <c r="AG30"/>
    </row>
    <row r="31" spans="1:33" ht="15.75">
      <c r="A31" s="1336"/>
      <c r="B31" s="1239"/>
      <c r="C31" s="1239"/>
      <c r="D31" s="1239"/>
      <c r="E31" s="1239"/>
      <c r="F31" s="1239"/>
      <c r="G31" s="1239"/>
      <c r="H31" s="1239"/>
      <c r="I31" s="1239"/>
      <c r="J31" s="1239"/>
      <c r="K31" s="1239"/>
      <c r="L31" s="1239"/>
      <c r="M31" s="1239"/>
      <c r="N31" s="1216"/>
      <c r="O31" s="1216"/>
      <c r="P31" s="1216"/>
      <c r="Q31" s="1390"/>
      <c r="R31" s="1388" t="s">
        <v>715</v>
      </c>
      <c r="S31" s="1391"/>
      <c r="T31" s="1391"/>
      <c r="U31" s="1391"/>
      <c r="V31" s="1391"/>
      <c r="W31" s="1391"/>
      <c r="X31" s="1391"/>
      <c r="Y31" s="1394" t="s">
        <v>680</v>
      </c>
      <c r="Z31" s="1400"/>
      <c r="AA31" s="1400"/>
      <c r="AB31" s="1391"/>
      <c r="AC31" s="1391"/>
      <c r="AD31" s="1387"/>
      <c r="AE31" s="1387"/>
      <c r="AF31" s="1387"/>
    </row>
    <row r="32" spans="1:33" ht="16.5">
      <c r="A32" s="1273"/>
      <c r="B32" s="1262"/>
      <c r="C32" s="1263"/>
      <c r="D32" s="1263"/>
      <c r="E32" s="1514" t="s">
        <v>432</v>
      </c>
      <c r="F32" s="1515"/>
      <c r="G32" s="1515"/>
      <c r="H32" s="1515"/>
      <c r="I32" s="1515"/>
      <c r="J32" s="1515"/>
      <c r="K32" s="1515"/>
      <c r="L32" s="1516"/>
      <c r="M32" s="1263"/>
      <c r="N32" s="1216"/>
      <c r="O32" s="1216"/>
      <c r="P32" s="1216"/>
      <c r="Q32" s="1391"/>
      <c r="R32" s="1391"/>
      <c r="S32" s="1391"/>
      <c r="T32" s="1391"/>
      <c r="U32" s="1387"/>
      <c r="V32" s="1387"/>
      <c r="W32" s="1387"/>
      <c r="X32" s="1387"/>
      <c r="Y32" s="1387"/>
      <c r="Z32" s="1387"/>
      <c r="AA32" s="1387"/>
      <c r="AB32" s="1391"/>
      <c r="AC32" s="1391"/>
      <c r="AD32" s="1401"/>
      <c r="AE32" s="1401" t="s">
        <v>729</v>
      </c>
      <c r="AF32" s="1402">
        <v>43624</v>
      </c>
    </row>
    <row r="33" spans="1:16" ht="15.75">
      <c r="A33" s="1273"/>
      <c r="B33" s="1262"/>
      <c r="C33" s="1262"/>
      <c r="D33" s="1262"/>
      <c r="E33" s="1264"/>
      <c r="F33" s="1379"/>
      <c r="G33" s="1379"/>
      <c r="H33" s="1379"/>
      <c r="I33" s="1381"/>
      <c r="J33" s="1379"/>
      <c r="K33" s="1367" t="s">
        <v>695</v>
      </c>
      <c r="L33" s="1368"/>
      <c r="M33" s="1263"/>
      <c r="N33" s="1216"/>
      <c r="O33" s="1216"/>
      <c r="P33" s="1216"/>
    </row>
    <row r="34" spans="1:16" ht="15.75">
      <c r="A34" s="1273"/>
      <c r="B34" s="1262"/>
      <c r="C34" s="1262"/>
      <c r="D34" s="1262"/>
      <c r="E34" s="1265" t="s">
        <v>434</v>
      </c>
      <c r="F34" s="1360"/>
      <c r="G34" s="1360"/>
      <c r="H34" s="1360" t="s">
        <v>435</v>
      </c>
      <c r="I34" s="1381"/>
      <c r="J34" s="1379"/>
      <c r="K34" s="1360" t="s">
        <v>696</v>
      </c>
      <c r="L34" s="1361"/>
      <c r="M34" s="1263"/>
      <c r="N34" s="1216"/>
      <c r="O34" s="1216"/>
      <c r="P34" s="1216"/>
    </row>
    <row r="35" spans="1:16" ht="15.75">
      <c r="A35" s="1273"/>
      <c r="B35" s="1262"/>
      <c r="C35" s="1262"/>
      <c r="D35" s="1262"/>
      <c r="E35" s="1266" t="s">
        <v>437</v>
      </c>
      <c r="F35" s="1267"/>
      <c r="G35" s="1267"/>
      <c r="H35" s="1379" t="s">
        <v>845</v>
      </c>
      <c r="I35" s="1381"/>
      <c r="J35" s="1379"/>
      <c r="K35" s="1362">
        <v>9.3899999999999997E-2</v>
      </c>
      <c r="L35" s="1363"/>
      <c r="M35" s="1263"/>
      <c r="N35" s="1216"/>
      <c r="O35" s="1216"/>
      <c r="P35" s="1216"/>
    </row>
    <row r="36" spans="1:16" ht="15.75">
      <c r="A36" s="1273"/>
      <c r="B36" s="1262"/>
      <c r="C36" s="1262"/>
      <c r="D36" s="1262"/>
      <c r="E36" s="1266" t="s">
        <v>439</v>
      </c>
      <c r="F36" s="1267"/>
      <c r="G36" s="1267"/>
      <c r="H36" s="1379" t="s">
        <v>697</v>
      </c>
      <c r="I36" s="1381"/>
      <c r="J36" s="1379"/>
      <c r="K36" s="1362">
        <v>8.5339419311125445E-2</v>
      </c>
      <c r="L36" s="1363"/>
      <c r="M36" s="1263"/>
      <c r="N36" s="1216"/>
      <c r="O36" s="1216"/>
      <c r="P36" s="1216"/>
    </row>
    <row r="37" spans="1:16" ht="15.75">
      <c r="A37" s="1273"/>
      <c r="B37" s="1262"/>
      <c r="C37" s="1262"/>
      <c r="D37" s="1262"/>
      <c r="E37" s="1268" t="s">
        <v>105</v>
      </c>
      <c r="F37" s="1269"/>
      <c r="G37" s="1269"/>
      <c r="H37" s="1382" t="s">
        <v>697</v>
      </c>
      <c r="I37" s="1383"/>
      <c r="J37" s="1382"/>
      <c r="K37" s="1364">
        <v>8.3200357939997416E-2</v>
      </c>
      <c r="L37" s="1365"/>
      <c r="M37" s="1263"/>
      <c r="N37" s="1216"/>
      <c r="O37" s="1216"/>
      <c r="P37" s="1216"/>
    </row>
    <row r="38" spans="1:16" ht="15.75">
      <c r="A38" s="1337"/>
      <c r="B38" s="1270"/>
      <c r="C38" s="1167"/>
      <c r="D38" s="1167"/>
      <c r="E38" s="1167"/>
      <c r="F38" s="1167"/>
      <c r="G38" s="1167"/>
      <c r="H38" s="1167"/>
      <c r="I38" s="1167"/>
      <c r="J38" s="1167"/>
      <c r="K38" s="1167"/>
      <c r="L38" s="1167"/>
      <c r="M38" s="1167"/>
      <c r="N38" s="1212"/>
      <c r="O38" s="1212"/>
      <c r="P38" s="1212"/>
    </row>
  </sheetData>
  <mergeCells count="3">
    <mergeCell ref="A2:P2"/>
    <mergeCell ref="A3:P3"/>
    <mergeCell ref="E32:L32"/>
  </mergeCells>
  <conditionalFormatting sqref="B9:M30">
    <cfRule type="expression" dxfId="11" priority="1">
      <formula>MOD(ROW(),2)=1</formula>
    </cfRule>
  </conditionalFormatting>
  <hyperlinks>
    <hyperlink ref="Y31" r:id="rId1" xr:uid="{AC42BE7F-51D5-4F5A-BB0D-B6A5085853D7}"/>
    <hyperlink ref="R23" r:id="rId2" xr:uid="{58787716-C4C7-4BBA-B430-32110EAF0143}"/>
    <hyperlink ref="Y28" r:id="rId3" xr:uid="{5A7498C3-19A3-43D1-B325-9449260854D6}"/>
    <hyperlink ref="Y29" r:id="rId4" xr:uid="{840B2E0E-EC9F-4D78-9533-255F62F3A811}"/>
  </hyperlinks>
  <pageMargins left="0.25" right="0.25" top="0.25" bottom="0.25" header="0.03" footer="0.3"/>
  <pageSetup scale="35" fitToWidth="0" orientation="landscape"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0.499984740745262"/>
    <pageSetUpPr fitToPage="1"/>
  </sheetPr>
  <dimension ref="A1:U38"/>
  <sheetViews>
    <sheetView showGridLines="0" zoomScaleNormal="100" workbookViewId="0">
      <selection activeCell="A11" sqref="A11"/>
    </sheetView>
  </sheetViews>
  <sheetFormatPr defaultRowHeight="12"/>
  <cols>
    <col min="1" max="9" width="9.140625" style="124"/>
    <col min="10" max="11" width="10.7109375" style="124" customWidth="1"/>
    <col min="12" max="12" width="4.7109375" style="124" customWidth="1"/>
    <col min="13" max="14" width="10.7109375" style="124" customWidth="1"/>
    <col min="15" max="15" width="4.7109375" style="124" customWidth="1"/>
    <col min="16" max="19" width="10.7109375" style="124" customWidth="1"/>
    <col min="20" max="20" width="4.7109375" style="124" customWidth="1"/>
    <col min="21" max="22" width="10.7109375" style="124" customWidth="1"/>
    <col min="23" max="16384" width="9.140625" style="124"/>
  </cols>
  <sheetData>
    <row r="1" spans="1:21">
      <c r="A1" s="1115"/>
      <c r="B1" s="1116"/>
      <c r="C1" s="1116"/>
      <c r="D1" s="1116"/>
      <c r="E1" s="1116"/>
      <c r="F1" s="1116"/>
      <c r="G1" s="1116"/>
      <c r="H1" s="1116"/>
      <c r="I1" s="1117" t="s">
        <v>221</v>
      </c>
      <c r="J1" s="1116"/>
      <c r="K1" s="1116"/>
      <c r="L1" s="1116"/>
      <c r="M1" s="1116"/>
      <c r="N1" s="1118"/>
      <c r="O1" s="1118"/>
      <c r="P1" s="1118"/>
      <c r="Q1" s="1119"/>
      <c r="R1" s="125"/>
      <c r="S1" s="125"/>
      <c r="T1" s="126"/>
    </row>
    <row r="2" spans="1:21">
      <c r="A2" s="1120"/>
      <c r="B2" s="134"/>
      <c r="C2" s="134"/>
      <c r="D2" s="134"/>
      <c r="E2" s="134"/>
      <c r="F2" s="134"/>
      <c r="G2" s="134"/>
      <c r="H2" s="134"/>
      <c r="I2" s="1121" t="s">
        <v>222</v>
      </c>
      <c r="J2" s="134"/>
      <c r="K2" s="134"/>
      <c r="L2" s="134"/>
      <c r="M2" s="134"/>
      <c r="N2" s="1122"/>
      <c r="O2" s="1122"/>
      <c r="P2" s="1122"/>
      <c r="Q2" s="1123"/>
      <c r="R2" s="125"/>
      <c r="S2" s="125"/>
      <c r="T2" s="126"/>
    </row>
    <row r="3" spans="1:21">
      <c r="A3" s="1120"/>
      <c r="B3" s="134"/>
      <c r="C3" s="134"/>
      <c r="D3" s="134"/>
      <c r="E3" s="134"/>
      <c r="F3" s="134"/>
      <c r="G3" s="134"/>
      <c r="H3" s="134"/>
      <c r="I3" s="134"/>
      <c r="J3" s="134"/>
      <c r="K3" s="134"/>
      <c r="L3" s="134"/>
      <c r="M3" s="134"/>
      <c r="N3" s="134"/>
      <c r="O3" s="134"/>
      <c r="P3" s="134"/>
      <c r="Q3" s="1123"/>
    </row>
    <row r="4" spans="1:21">
      <c r="A4" s="1120"/>
      <c r="B4" s="134"/>
      <c r="C4" s="134"/>
      <c r="D4" s="134"/>
      <c r="E4" s="134"/>
      <c r="F4" s="134"/>
      <c r="G4" s="134"/>
      <c r="H4" s="134"/>
      <c r="I4" s="134"/>
      <c r="J4" s="134"/>
      <c r="K4" s="134"/>
      <c r="L4" s="134"/>
      <c r="M4" s="134"/>
      <c r="N4" s="134"/>
      <c r="O4" s="134"/>
      <c r="P4" s="134"/>
      <c r="Q4" s="1123"/>
    </row>
    <row r="5" spans="1:21">
      <c r="A5" s="1120"/>
      <c r="B5" s="134"/>
      <c r="C5" s="134"/>
      <c r="D5" s="134"/>
      <c r="E5" s="134"/>
      <c r="F5" s="134"/>
      <c r="G5" s="134"/>
      <c r="H5" s="134"/>
      <c r="I5" s="134"/>
      <c r="J5" s="134"/>
      <c r="K5" s="134"/>
      <c r="L5" s="134"/>
      <c r="M5" s="134"/>
      <c r="N5" s="134"/>
      <c r="O5" s="134"/>
      <c r="P5" s="134"/>
      <c r="Q5" s="1123"/>
    </row>
    <row r="6" spans="1:21">
      <c r="A6" s="1519" t="s">
        <v>73</v>
      </c>
      <c r="B6" s="1517"/>
      <c r="C6" s="127"/>
      <c r="D6" s="1517" t="s">
        <v>183</v>
      </c>
      <c r="E6" s="1517"/>
      <c r="F6" s="127"/>
      <c r="G6" s="1523" t="s">
        <v>184</v>
      </c>
      <c r="H6" s="1524"/>
      <c r="I6" s="1124"/>
      <c r="J6" s="1517" t="s">
        <v>71</v>
      </c>
      <c r="K6" s="1517"/>
      <c r="L6" s="1125"/>
      <c r="M6" s="1517" t="s">
        <v>69</v>
      </c>
      <c r="N6" s="1517"/>
      <c r="O6" s="1125"/>
      <c r="P6" s="1517" t="s">
        <v>60</v>
      </c>
      <c r="Q6" s="1521"/>
    </row>
    <row r="7" spans="1:21">
      <c r="A7" s="1520" t="s">
        <v>185</v>
      </c>
      <c r="B7" s="1518"/>
      <c r="C7" s="127"/>
      <c r="D7" s="1518" t="s">
        <v>186</v>
      </c>
      <c r="E7" s="1518"/>
      <c r="F7" s="127"/>
      <c r="G7" s="1525" t="s">
        <v>186</v>
      </c>
      <c r="H7" s="1526"/>
      <c r="I7" s="1124"/>
      <c r="J7" s="1518" t="s">
        <v>187</v>
      </c>
      <c r="K7" s="1527"/>
      <c r="L7" s="1126"/>
      <c r="M7" s="1518" t="s">
        <v>186</v>
      </c>
      <c r="N7" s="1518"/>
      <c r="O7" s="1126"/>
      <c r="P7" s="1518" t="s">
        <v>188</v>
      </c>
      <c r="Q7" s="1522"/>
    </row>
    <row r="8" spans="1:21">
      <c r="A8" s="1127"/>
      <c r="B8" s="1126"/>
      <c r="C8" s="1126"/>
      <c r="D8" s="1126"/>
      <c r="E8" s="1126"/>
      <c r="F8" s="1126"/>
      <c r="G8" s="1126"/>
      <c r="H8" s="1124"/>
      <c r="I8" s="1124"/>
      <c r="J8" s="1126"/>
      <c r="K8" s="1126"/>
      <c r="L8" s="1126"/>
      <c r="M8" s="1126"/>
      <c r="N8" s="1126"/>
      <c r="O8" s="1126"/>
      <c r="P8" s="1126"/>
      <c r="Q8" s="1128"/>
    </row>
    <row r="9" spans="1:21">
      <c r="A9" s="1129" t="s">
        <v>189</v>
      </c>
      <c r="B9" s="1130" t="s">
        <v>190</v>
      </c>
      <c r="C9" s="1130"/>
      <c r="D9" s="127" t="s">
        <v>191</v>
      </c>
      <c r="E9" s="1130" t="s">
        <v>192</v>
      </c>
      <c r="F9" s="1125"/>
      <c r="G9" s="1130" t="s">
        <v>193</v>
      </c>
      <c r="H9" s="1131" t="s">
        <v>192</v>
      </c>
      <c r="I9" s="1124"/>
      <c r="J9" s="1130" t="s">
        <v>194</v>
      </c>
      <c r="K9" s="1130" t="s">
        <v>195</v>
      </c>
      <c r="L9" s="1125"/>
      <c r="M9" s="1130" t="s">
        <v>194</v>
      </c>
      <c r="N9" s="1130" t="s">
        <v>195</v>
      </c>
      <c r="O9" s="1125"/>
      <c r="P9" s="1130" t="s">
        <v>194</v>
      </c>
      <c r="Q9" s="1132" t="s">
        <v>195</v>
      </c>
    </row>
    <row r="10" spans="1:21">
      <c r="A10" s="1120"/>
      <c r="B10" s="134"/>
      <c r="C10" s="128"/>
      <c r="D10" s="128"/>
      <c r="E10" s="128"/>
      <c r="F10" s="128"/>
      <c r="G10" s="134"/>
      <c r="H10" s="128"/>
      <c r="I10" s="128"/>
      <c r="J10" s="128"/>
      <c r="K10" s="134"/>
      <c r="L10" s="134"/>
      <c r="M10" s="134"/>
      <c r="N10" s="134"/>
      <c r="O10" s="134"/>
      <c r="P10" s="134"/>
      <c r="Q10" s="1123"/>
    </row>
    <row r="11" spans="1:21">
      <c r="A11" s="1133">
        <v>0</v>
      </c>
      <c r="B11" s="130">
        <f>A11*0.03</f>
        <v>0</v>
      </c>
      <c r="C11" s="131"/>
      <c r="D11" s="132">
        <f>A11</f>
        <v>0</v>
      </c>
      <c r="E11" s="131">
        <f>D11*0.06</f>
        <v>0</v>
      </c>
      <c r="F11" s="131"/>
      <c r="G11" s="129">
        <f>A11</f>
        <v>0</v>
      </c>
      <c r="H11" s="133">
        <f>G11*0.08</f>
        <v>0</v>
      </c>
      <c r="I11" s="134"/>
      <c r="J11" s="1134">
        <f>A11</f>
        <v>0</v>
      </c>
      <c r="K11" s="130">
        <f>A11*0.09</f>
        <v>0</v>
      </c>
      <c r="L11" s="129"/>
      <c r="M11" s="129">
        <f>A11</f>
        <v>0</v>
      </c>
      <c r="N11" s="135">
        <f>M11*0.1</f>
        <v>0</v>
      </c>
      <c r="O11" s="136"/>
      <c r="P11" s="129">
        <f>A11</f>
        <v>0</v>
      </c>
      <c r="Q11" s="1135">
        <f>P11*0.12</f>
        <v>0</v>
      </c>
    </row>
    <row r="12" spans="1:21" ht="12.75" thickBot="1">
      <c r="A12" s="1136"/>
      <c r="B12" s="138"/>
      <c r="C12" s="138"/>
      <c r="D12" s="138"/>
      <c r="E12" s="138"/>
      <c r="F12" s="139"/>
      <c r="G12" s="137"/>
      <c r="H12" s="140"/>
      <c r="I12" s="140"/>
      <c r="J12" s="137"/>
      <c r="K12" s="138"/>
      <c r="L12" s="137"/>
      <c r="M12" s="137"/>
      <c r="N12" s="137"/>
      <c r="O12" s="137"/>
      <c r="P12" s="137"/>
      <c r="Q12" s="1137"/>
    </row>
    <row r="13" spans="1:21">
      <c r="A13" s="1120"/>
      <c r="B13" s="134"/>
      <c r="C13" s="134"/>
      <c r="D13" s="134"/>
      <c r="E13" s="134"/>
      <c r="F13" s="134"/>
      <c r="G13" s="134"/>
      <c r="H13" s="134"/>
      <c r="I13" s="134"/>
      <c r="J13" s="134"/>
      <c r="K13" s="1138"/>
      <c r="L13" s="134"/>
      <c r="M13" s="134"/>
      <c r="N13" s="134"/>
      <c r="O13" s="134"/>
      <c r="P13" s="134"/>
      <c r="Q13" s="1139"/>
      <c r="U13" s="141"/>
    </row>
    <row r="14" spans="1:21">
      <c r="A14" s="1140" t="s">
        <v>196</v>
      </c>
      <c r="B14" s="1141"/>
      <c r="C14" s="1141"/>
      <c r="D14" s="1141"/>
      <c r="E14" s="1141"/>
      <c r="F14" s="1141"/>
      <c r="G14" s="1141"/>
      <c r="H14" s="1141"/>
      <c r="I14" s="1141"/>
      <c r="J14" s="1142"/>
      <c r="K14" s="1142"/>
      <c r="L14" s="1142"/>
      <c r="M14" s="1142"/>
      <c r="N14" s="1141"/>
      <c r="O14" s="1141"/>
      <c r="P14" s="1142"/>
      <c r="Q14" s="1143"/>
      <c r="R14" s="143"/>
      <c r="S14" s="142"/>
    </row>
    <row r="15" spans="1:21">
      <c r="A15" s="1140"/>
      <c r="B15" s="1141"/>
      <c r="C15" s="1141"/>
      <c r="D15" s="1141"/>
      <c r="E15" s="1141"/>
      <c r="F15" s="1141"/>
      <c r="G15" s="1141"/>
      <c r="H15" s="1141"/>
      <c r="I15" s="1141"/>
      <c r="J15" s="1142"/>
      <c r="K15" s="1142"/>
      <c r="L15" s="1142"/>
      <c r="M15" s="1142"/>
      <c r="N15" s="1141"/>
      <c r="O15" s="1141"/>
      <c r="P15" s="1142"/>
      <c r="Q15" s="1143"/>
      <c r="R15" s="143"/>
      <c r="S15" s="142"/>
    </row>
    <row r="16" spans="1:21">
      <c r="A16" s="1144" t="s">
        <v>587</v>
      </c>
      <c r="B16" s="1145"/>
      <c r="C16" s="1145"/>
      <c r="D16" s="1145"/>
      <c r="E16" s="1145"/>
      <c r="F16" s="1145"/>
      <c r="G16" s="1145"/>
      <c r="H16" s="1145"/>
      <c r="I16" s="1145"/>
      <c r="J16" s="1146"/>
      <c r="K16" s="1146"/>
      <c r="L16" s="1142"/>
      <c r="M16" s="1142"/>
      <c r="N16" s="1141"/>
      <c r="O16" s="1141"/>
      <c r="P16" s="1142"/>
      <c r="Q16" s="1143"/>
      <c r="R16" s="143"/>
      <c r="S16" s="142"/>
    </row>
    <row r="17" spans="1:19">
      <c r="A17" s="1144" t="s">
        <v>588</v>
      </c>
      <c r="B17" s="1145"/>
      <c r="C17" s="1145"/>
      <c r="D17" s="1145"/>
      <c r="E17" s="1145"/>
      <c r="F17" s="1145"/>
      <c r="G17" s="1145"/>
      <c r="H17" s="1145"/>
      <c r="I17" s="1145"/>
      <c r="J17" s="1146"/>
      <c r="K17" s="1146"/>
      <c r="L17" s="1142"/>
      <c r="M17" s="1142"/>
      <c r="N17" s="1141"/>
      <c r="O17" s="1141"/>
      <c r="P17" s="1142"/>
      <c r="Q17" s="1143"/>
      <c r="R17" s="143"/>
      <c r="S17" s="142"/>
    </row>
    <row r="18" spans="1:19">
      <c r="A18" s="1120"/>
      <c r="B18" s="1138"/>
      <c r="C18" s="1138"/>
      <c r="D18" s="1138"/>
      <c r="E18" s="1138"/>
      <c r="F18" s="1138"/>
      <c r="G18" s="1138"/>
      <c r="H18" s="1138"/>
      <c r="I18" s="1138"/>
      <c r="J18" s="134"/>
      <c r="K18" s="134"/>
      <c r="L18" s="134"/>
      <c r="M18" s="134"/>
      <c r="N18" s="1138"/>
      <c r="O18" s="1138"/>
      <c r="P18" s="134"/>
      <c r="Q18" s="1123"/>
      <c r="R18" s="141"/>
    </row>
    <row r="19" spans="1:19">
      <c r="A19" s="1120"/>
      <c r="B19" s="1138"/>
      <c r="C19" s="1138"/>
      <c r="D19" s="1138"/>
      <c r="E19" s="1138"/>
      <c r="F19" s="1138"/>
      <c r="G19" s="1138"/>
      <c r="H19" s="1138"/>
      <c r="I19" s="1138"/>
      <c r="J19" s="134"/>
      <c r="K19" s="134"/>
      <c r="L19" s="134"/>
      <c r="M19" s="134"/>
      <c r="N19" s="1138"/>
      <c r="O19" s="1138"/>
      <c r="P19" s="134"/>
      <c r="Q19" s="1123"/>
      <c r="R19" s="141"/>
    </row>
    <row r="20" spans="1:19">
      <c r="A20" s="1147" t="s">
        <v>197</v>
      </c>
      <c r="B20" s="134"/>
      <c r="C20" s="134"/>
      <c r="D20" s="134"/>
      <c r="E20" s="134"/>
      <c r="F20" s="134"/>
      <c r="G20" s="134"/>
      <c r="H20" s="134"/>
      <c r="I20" s="134"/>
      <c r="J20" s="134"/>
      <c r="K20" s="134"/>
      <c r="L20" s="134"/>
      <c r="M20" s="134"/>
      <c r="N20" s="1138"/>
      <c r="O20" s="1138"/>
      <c r="P20" s="134"/>
      <c r="Q20" s="1123"/>
      <c r="R20" s="141"/>
    </row>
    <row r="21" spans="1:19">
      <c r="A21" s="1147" t="s">
        <v>198</v>
      </c>
      <c r="B21" s="134"/>
      <c r="C21" s="134"/>
      <c r="D21" s="134"/>
      <c r="E21" s="134"/>
      <c r="F21" s="134"/>
      <c r="G21" s="134"/>
      <c r="H21" s="134"/>
      <c r="I21" s="134"/>
      <c r="J21" s="134"/>
      <c r="K21" s="134"/>
      <c r="L21" s="134"/>
      <c r="M21" s="134"/>
      <c r="N21" s="1138"/>
      <c r="O21" s="1138"/>
      <c r="P21" s="134"/>
      <c r="Q21" s="1123"/>
      <c r="R21" s="141"/>
    </row>
    <row r="22" spans="1:19">
      <c r="A22" s="1147"/>
      <c r="B22" s="134"/>
      <c r="C22" s="134"/>
      <c r="D22" s="134"/>
      <c r="E22" s="134"/>
      <c r="F22" s="134"/>
      <c r="G22" s="134"/>
      <c r="H22" s="134"/>
      <c r="I22" s="134"/>
      <c r="J22" s="134"/>
      <c r="K22" s="134"/>
      <c r="L22" s="134"/>
      <c r="M22" s="134"/>
      <c r="N22" s="1138"/>
      <c r="O22" s="1138"/>
      <c r="P22" s="134"/>
      <c r="Q22" s="1123"/>
      <c r="R22" s="141"/>
    </row>
    <row r="23" spans="1:19">
      <c r="A23" s="1147" t="s">
        <v>199</v>
      </c>
      <c r="B23" s="134"/>
      <c r="C23" s="1148" t="s">
        <v>200</v>
      </c>
      <c r="D23" s="134"/>
      <c r="E23" s="1149" t="s">
        <v>201</v>
      </c>
      <c r="F23" s="134"/>
      <c r="G23" s="1149" t="s">
        <v>202</v>
      </c>
      <c r="H23" s="1148"/>
      <c r="I23" s="134"/>
      <c r="J23" s="134"/>
      <c r="K23" s="134"/>
      <c r="L23" s="134"/>
      <c r="M23" s="134"/>
      <c r="N23" s="1138"/>
      <c r="O23" s="134"/>
      <c r="P23" s="134"/>
      <c r="Q23" s="1123"/>
    </row>
    <row r="24" spans="1:19">
      <c r="A24" s="1147" t="s">
        <v>203</v>
      </c>
      <c r="B24" s="134"/>
      <c r="C24" s="1148" t="s">
        <v>204</v>
      </c>
      <c r="D24" s="134"/>
      <c r="E24" s="1149" t="s">
        <v>205</v>
      </c>
      <c r="F24" s="134"/>
      <c r="G24" s="1149" t="s">
        <v>206</v>
      </c>
      <c r="H24" s="1148"/>
      <c r="I24" s="134"/>
      <c r="J24" s="134"/>
      <c r="K24" s="134"/>
      <c r="L24" s="134"/>
      <c r="M24" s="134"/>
      <c r="N24" s="1138"/>
      <c r="O24" s="134"/>
      <c r="P24" s="134"/>
      <c r="Q24" s="1123"/>
    </row>
    <row r="25" spans="1:19">
      <c r="A25" s="1147" t="s">
        <v>207</v>
      </c>
      <c r="B25" s="134"/>
      <c r="C25" s="1148" t="s">
        <v>208</v>
      </c>
      <c r="D25" s="134"/>
      <c r="E25" s="1149" t="s">
        <v>209</v>
      </c>
      <c r="F25" s="134"/>
      <c r="G25" s="1149" t="s">
        <v>210</v>
      </c>
      <c r="H25" s="1148"/>
      <c r="I25" s="134"/>
      <c r="J25" s="134"/>
      <c r="K25" s="134"/>
      <c r="L25" s="134"/>
      <c r="M25" s="134"/>
      <c r="N25" s="1138"/>
      <c r="O25" s="134"/>
      <c r="P25" s="134"/>
      <c r="Q25" s="1123"/>
    </row>
    <row r="26" spans="1:19">
      <c r="A26" s="1147" t="s">
        <v>143</v>
      </c>
      <c r="B26" s="134"/>
      <c r="C26" s="134"/>
      <c r="D26" s="134"/>
      <c r="E26" s="134"/>
      <c r="F26" s="134"/>
      <c r="G26" s="134"/>
      <c r="H26" s="134"/>
      <c r="I26" s="134"/>
      <c r="J26" s="134"/>
      <c r="K26" s="134"/>
      <c r="L26" s="134"/>
      <c r="M26" s="134"/>
      <c r="N26" s="1138"/>
      <c r="O26" s="1138"/>
      <c r="P26" s="134"/>
      <c r="Q26" s="1123"/>
      <c r="R26" s="141"/>
    </row>
    <row r="27" spans="1:19">
      <c r="A27" s="1147" t="s">
        <v>211</v>
      </c>
      <c r="B27" s="134"/>
      <c r="C27" s="134"/>
      <c r="D27" s="134"/>
      <c r="E27" s="134"/>
      <c r="F27" s="134"/>
      <c r="G27" s="134"/>
      <c r="H27" s="134"/>
      <c r="I27" s="134"/>
      <c r="J27" s="134"/>
      <c r="K27" s="134"/>
      <c r="L27" s="134"/>
      <c r="M27" s="134"/>
      <c r="N27" s="1138"/>
      <c r="O27" s="1138"/>
      <c r="P27" s="134"/>
      <c r="Q27" s="1123"/>
      <c r="R27" s="141"/>
    </row>
    <row r="28" spans="1:19">
      <c r="A28" s="1147" t="s">
        <v>212</v>
      </c>
      <c r="B28" s="134"/>
      <c r="C28" s="134"/>
      <c r="D28" s="134"/>
      <c r="E28" s="134"/>
      <c r="F28" s="134"/>
      <c r="G28" s="134"/>
      <c r="H28" s="134"/>
      <c r="I28" s="134"/>
      <c r="J28" s="134"/>
      <c r="K28" s="134"/>
      <c r="L28" s="134"/>
      <c r="M28" s="134"/>
      <c r="N28" s="1138"/>
      <c r="O28" s="1138"/>
      <c r="P28" s="134"/>
      <c r="Q28" s="1123"/>
      <c r="R28" s="141"/>
    </row>
    <row r="29" spans="1:19">
      <c r="A29" s="1150"/>
      <c r="B29" s="134"/>
      <c r="C29" s="134"/>
      <c r="D29" s="134"/>
      <c r="E29" s="134"/>
      <c r="F29" s="134"/>
      <c r="G29" s="134"/>
      <c r="H29" s="134"/>
      <c r="I29" s="134"/>
      <c r="J29" s="134"/>
      <c r="K29" s="134"/>
      <c r="L29" s="134"/>
      <c r="M29" s="134"/>
      <c r="N29" s="1138"/>
      <c r="O29" s="1138"/>
      <c r="P29" s="134"/>
      <c r="Q29" s="1123"/>
      <c r="R29" s="141"/>
    </row>
    <row r="30" spans="1:19">
      <c r="A30" s="1120"/>
      <c r="B30" s="1151"/>
      <c r="C30" s="1151"/>
      <c r="D30" s="1151"/>
      <c r="E30" s="1151"/>
      <c r="F30" s="1151"/>
      <c r="G30" s="1151"/>
      <c r="H30" s="1151"/>
      <c r="I30" s="1151"/>
      <c r="J30" s="134"/>
      <c r="K30" s="134"/>
      <c r="L30" s="134"/>
      <c r="M30" s="134"/>
      <c r="N30" s="1138"/>
      <c r="O30" s="1138"/>
      <c r="P30" s="134"/>
      <c r="Q30" s="1123"/>
      <c r="R30" s="141"/>
    </row>
    <row r="31" spans="1:19" ht="12.75">
      <c r="A31" s="1150"/>
      <c r="B31" s="134"/>
      <c r="C31" s="134"/>
      <c r="D31" s="1152" t="s">
        <v>213</v>
      </c>
      <c r="E31" s="134"/>
      <c r="F31" s="1153" t="s">
        <v>214</v>
      </c>
      <c r="G31" s="1153"/>
      <c r="H31" s="1153"/>
      <c r="I31" s="1154"/>
      <c r="J31" s="1153"/>
      <c r="K31" s="1153"/>
      <c r="L31" s="1153"/>
      <c r="M31" s="1153"/>
      <c r="N31" s="1153"/>
      <c r="O31" s="1138"/>
      <c r="P31" s="134"/>
      <c r="Q31" s="1123"/>
    </row>
    <row r="32" spans="1:19" ht="12.75">
      <c r="A32" s="1150"/>
      <c r="B32" s="134"/>
      <c r="C32" s="134"/>
      <c r="D32" s="134"/>
      <c r="E32" s="134"/>
      <c r="F32" s="1153" t="s">
        <v>215</v>
      </c>
      <c r="G32" s="1153"/>
      <c r="H32" s="1153"/>
      <c r="I32" s="1153"/>
      <c r="J32" s="1153"/>
      <c r="K32" s="1153"/>
      <c r="L32" s="1153"/>
      <c r="M32" s="1153"/>
      <c r="N32" s="1153"/>
      <c r="O32" s="134"/>
      <c r="P32" s="134"/>
      <c r="Q32" s="1123"/>
    </row>
    <row r="33" spans="1:17" ht="12.75">
      <c r="A33" s="1120"/>
      <c r="B33" s="134"/>
      <c r="C33" s="134"/>
      <c r="D33" s="134"/>
      <c r="E33" s="134"/>
      <c r="F33" s="1153" t="s">
        <v>216</v>
      </c>
      <c r="G33" s="1153"/>
      <c r="H33" s="1153"/>
      <c r="I33" s="1153"/>
      <c r="J33" s="1153"/>
      <c r="K33" s="1153"/>
      <c r="L33" s="1153"/>
      <c r="M33" s="1153"/>
      <c r="N33" s="1153"/>
      <c r="O33" s="134"/>
      <c r="P33" s="134"/>
      <c r="Q33" s="1123"/>
    </row>
    <row r="34" spans="1:17">
      <c r="A34" s="1120"/>
      <c r="B34" s="134"/>
      <c r="C34" s="134"/>
      <c r="D34" s="134"/>
      <c r="E34" s="134"/>
      <c r="F34" s="134"/>
      <c r="G34" s="134"/>
      <c r="H34" s="134"/>
      <c r="I34" s="134"/>
      <c r="J34" s="134"/>
      <c r="K34" s="134"/>
      <c r="L34" s="134"/>
      <c r="M34" s="134"/>
      <c r="N34" s="134"/>
      <c r="O34" s="134"/>
      <c r="P34" s="134"/>
      <c r="Q34" s="1123"/>
    </row>
    <row r="35" spans="1:17">
      <c r="A35" s="1120"/>
      <c r="B35" s="134"/>
      <c r="C35" s="134"/>
      <c r="D35" s="134"/>
      <c r="E35" s="134"/>
      <c r="F35" s="134"/>
      <c r="G35" s="134"/>
      <c r="H35" s="134"/>
      <c r="I35" s="134"/>
      <c r="J35" s="134"/>
      <c r="K35" s="134"/>
      <c r="L35" s="134"/>
      <c r="M35" s="134"/>
      <c r="N35" s="134"/>
      <c r="O35" s="134"/>
      <c r="P35" s="134"/>
      <c r="Q35" s="1123"/>
    </row>
    <row r="36" spans="1:17" ht="12.75">
      <c r="A36" s="1120"/>
      <c r="B36" s="134"/>
      <c r="C36" s="134"/>
      <c r="D36" s="134" t="s">
        <v>217</v>
      </c>
      <c r="E36" s="134"/>
      <c r="F36" s="1153" t="s">
        <v>218</v>
      </c>
      <c r="G36" s="1153"/>
      <c r="H36" s="1153"/>
      <c r="I36" s="1153"/>
      <c r="J36" s="1153"/>
      <c r="K36" s="1153"/>
      <c r="L36" s="1153"/>
      <c r="M36" s="1153"/>
      <c r="N36" s="1153"/>
      <c r="O36" s="134"/>
      <c r="P36" s="134"/>
      <c r="Q36" s="1123"/>
    </row>
    <row r="37" spans="1:17" ht="12.75">
      <c r="A37" s="1120"/>
      <c r="B37" s="134"/>
      <c r="C37" s="134"/>
      <c r="D37" s="134"/>
      <c r="E37" s="134"/>
      <c r="F37" s="1153" t="s">
        <v>219</v>
      </c>
      <c r="G37" s="1153"/>
      <c r="H37" s="1153"/>
      <c r="I37" s="1153"/>
      <c r="J37" s="1153"/>
      <c r="K37" s="1153"/>
      <c r="L37" s="1153"/>
      <c r="M37" s="1153"/>
      <c r="N37" s="1153"/>
      <c r="O37" s="134"/>
      <c r="P37" s="134"/>
      <c r="Q37" s="1123"/>
    </row>
    <row r="38" spans="1:17" ht="12.75">
      <c r="A38" s="1155"/>
      <c r="B38" s="128"/>
      <c r="C38" s="128"/>
      <c r="D38" s="128"/>
      <c r="E38" s="128"/>
      <c r="F38" s="1156" t="s">
        <v>220</v>
      </c>
      <c r="G38" s="1156"/>
      <c r="H38" s="1156"/>
      <c r="I38" s="1156"/>
      <c r="J38" s="1156"/>
      <c r="K38" s="1156"/>
      <c r="L38" s="1156"/>
      <c r="M38" s="1156"/>
      <c r="N38" s="1156"/>
      <c r="O38" s="128"/>
      <c r="P38" s="128"/>
      <c r="Q38" s="1157"/>
    </row>
  </sheetData>
  <sheetProtection selectLockedCells="1"/>
  <mergeCells count="12">
    <mergeCell ref="D6:E6"/>
    <mergeCell ref="D7:E7"/>
    <mergeCell ref="A6:B6"/>
    <mergeCell ref="A7:B7"/>
    <mergeCell ref="P6:Q6"/>
    <mergeCell ref="P7:Q7"/>
    <mergeCell ref="G6:H6"/>
    <mergeCell ref="G7:H7"/>
    <mergeCell ref="J6:K6"/>
    <mergeCell ref="J7:K7"/>
    <mergeCell ref="M6:N6"/>
    <mergeCell ref="M7:N7"/>
  </mergeCells>
  <pageMargins left="0.5" right="0.3" top="1" bottom="1" header="0.5" footer="0.5"/>
  <pageSetup scale="85" orientation="landscape" r:id="rId1"/>
  <headerFooter alignWithMargins="0">
    <oddFooter>&amp;L&amp;8Created by George Gardner
Latest Update &amp;D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130"/>
  <sheetViews>
    <sheetView workbookViewId="0">
      <selection activeCell="E91" sqref="E91"/>
    </sheetView>
  </sheetViews>
  <sheetFormatPr defaultRowHeight="12.75"/>
  <cols>
    <col min="1" max="1" width="37.5703125" style="1036" bestFit="1" customWidth="1"/>
    <col min="2" max="4" width="20.7109375" style="1036" customWidth="1"/>
    <col min="5" max="5" width="23.28515625" style="1036" customWidth="1"/>
    <col min="6" max="16384" width="9.140625" style="1036"/>
  </cols>
  <sheetData>
    <row r="1" spans="1:5" ht="21">
      <c r="A1" s="1531" t="s">
        <v>688</v>
      </c>
      <c r="B1" s="1531"/>
      <c r="C1" s="1531"/>
      <c r="D1" s="1531"/>
      <c r="E1" s="1531"/>
    </row>
    <row r="2" spans="1:5" ht="26.25" customHeight="1">
      <c r="A2" s="1532" t="s">
        <v>848</v>
      </c>
      <c r="B2" s="1532"/>
      <c r="C2" s="1532"/>
      <c r="D2" s="1532"/>
      <c r="E2" s="1532"/>
    </row>
    <row r="3" spans="1:5" ht="93" customHeight="1">
      <c r="A3" s="1528" t="s">
        <v>849</v>
      </c>
      <c r="B3" s="1529"/>
      <c r="C3" s="1529"/>
      <c r="D3" s="1529"/>
      <c r="E3" s="1530"/>
    </row>
    <row r="4" spans="1:5" ht="93" customHeight="1">
      <c r="A4" s="1338" t="s">
        <v>689</v>
      </c>
      <c r="B4" s="1339" t="s">
        <v>783</v>
      </c>
      <c r="C4" s="1340" t="s">
        <v>784</v>
      </c>
      <c r="D4" s="1339" t="s">
        <v>785</v>
      </c>
      <c r="E4" s="1341" t="s">
        <v>786</v>
      </c>
    </row>
    <row r="5" spans="1:5" ht="36.75" customHeight="1">
      <c r="A5" s="1403">
        <v>1</v>
      </c>
      <c r="B5" s="1404">
        <v>2608</v>
      </c>
      <c r="C5" s="1405">
        <f>Table3133[[#This Row],[Full-Time 
(1.0 FTE)
Monthly]]/2</f>
        <v>1304</v>
      </c>
      <c r="D5" s="1405">
        <f>Table3133[[#This Row],[Half-Time 
(.50 FTE)
Monthly]]/2</f>
        <v>652</v>
      </c>
      <c r="E5" s="1406">
        <f>Table3133[[#This Row],[Half-Time 
(.50 FTE)
Monthly]]*9</f>
        <v>11736</v>
      </c>
    </row>
    <row r="6" spans="1:5" ht="14.1" customHeight="1">
      <c r="A6" s="1407">
        <v>2</v>
      </c>
      <c r="B6" s="1408">
        <v>2631</v>
      </c>
      <c r="C6" s="1409">
        <f>Table3133[[#This Row],[Full-Time 
(1.0 FTE)
Monthly]]/2</f>
        <v>1315.5</v>
      </c>
      <c r="D6" s="1409">
        <f>Table3133[[#This Row],[Half-Time 
(.50 FTE)
Monthly]]/2</f>
        <v>657.75</v>
      </c>
      <c r="E6" s="1410">
        <f>Table3133[[#This Row],[Half-Time 
(.50 FTE)
Monthly]]*9</f>
        <v>11839.5</v>
      </c>
    </row>
    <row r="7" spans="1:5" ht="14.1" customHeight="1">
      <c r="A7" s="1407">
        <v>3</v>
      </c>
      <c r="B7" s="1404">
        <v>2655</v>
      </c>
      <c r="C7" s="1409">
        <f>Table3133[[#This Row],[Full-Time 
(1.0 FTE)
Monthly]]/2</f>
        <v>1327.5</v>
      </c>
      <c r="D7" s="1409">
        <f>Table3133[[#This Row],[Half-Time 
(.50 FTE)
Monthly]]/2</f>
        <v>663.75</v>
      </c>
      <c r="E7" s="1410">
        <f>Table3133[[#This Row],[Half-Time 
(.50 FTE)
Monthly]]*9</f>
        <v>11947.5</v>
      </c>
    </row>
    <row r="8" spans="1:5" ht="14.1" customHeight="1">
      <c r="A8" s="1407">
        <v>4</v>
      </c>
      <c r="B8" s="1408">
        <v>2682</v>
      </c>
      <c r="C8" s="1409">
        <f>Table3133[[#This Row],[Full-Time 
(1.0 FTE)
Monthly]]/2</f>
        <v>1341</v>
      </c>
      <c r="D8" s="1409">
        <f>Table3133[[#This Row],[Half-Time 
(.50 FTE)
Monthly]]/2</f>
        <v>670.5</v>
      </c>
      <c r="E8" s="1410">
        <f>Table3133[[#This Row],[Half-Time 
(.50 FTE)
Monthly]]*9</f>
        <v>12069</v>
      </c>
    </row>
    <row r="9" spans="1:5" ht="14.1" customHeight="1">
      <c r="A9" s="1407">
        <v>5</v>
      </c>
      <c r="B9" s="1404">
        <v>2709</v>
      </c>
      <c r="C9" s="1409">
        <f>Table3133[[#This Row],[Full-Time 
(1.0 FTE)
Monthly]]/2</f>
        <v>1354.5</v>
      </c>
      <c r="D9" s="1409">
        <f>Table3133[[#This Row],[Half-Time 
(.50 FTE)
Monthly]]/2</f>
        <v>677.25</v>
      </c>
      <c r="E9" s="1410">
        <f>Table3133[[#This Row],[Half-Time 
(.50 FTE)
Monthly]]*9</f>
        <v>12190.5</v>
      </c>
    </row>
    <row r="10" spans="1:5" ht="14.1" customHeight="1">
      <c r="A10" s="1343">
        <v>6</v>
      </c>
      <c r="B10" s="1344">
        <v>2741</v>
      </c>
      <c r="C10" s="1345">
        <f>Table3133[[#This Row],[Full-Time 
(1.0 FTE)
Monthly]]/2</f>
        <v>1370.5</v>
      </c>
      <c r="D10" s="1345">
        <f>Table3133[[#This Row],[Half-Time 
(.50 FTE)
Monthly]]/2</f>
        <v>685.25</v>
      </c>
      <c r="E10" s="1346">
        <f>Table3133[[#This Row],[Half-Time 
(.50 FTE)
Monthly]]*9</f>
        <v>12334.5</v>
      </c>
    </row>
    <row r="11" spans="1:5" ht="14.1" customHeight="1">
      <c r="A11" s="1343">
        <v>7</v>
      </c>
      <c r="B11" s="1342">
        <v>2763</v>
      </c>
      <c r="C11" s="1345">
        <f>Table3133[[#This Row],[Full-Time 
(1.0 FTE)
Monthly]]/2</f>
        <v>1381.5</v>
      </c>
      <c r="D11" s="1345">
        <f>Table3133[[#This Row],[Half-Time 
(.50 FTE)
Monthly]]/2</f>
        <v>690.75</v>
      </c>
      <c r="E11" s="1346">
        <f>Table3133[[#This Row],[Half-Time 
(.50 FTE)
Monthly]]*9</f>
        <v>12433.5</v>
      </c>
    </row>
    <row r="12" spans="1:5" ht="14.1" customHeight="1">
      <c r="A12" s="1343">
        <v>8</v>
      </c>
      <c r="B12" s="1344">
        <v>2793</v>
      </c>
      <c r="C12" s="1345">
        <f>Table3133[[#This Row],[Full-Time 
(1.0 FTE)
Monthly]]/2</f>
        <v>1396.5</v>
      </c>
      <c r="D12" s="1345">
        <f>Table3133[[#This Row],[Half-Time 
(.50 FTE)
Monthly]]/2</f>
        <v>698.25</v>
      </c>
      <c r="E12" s="1346">
        <f>Table3133[[#This Row],[Half-Time 
(.50 FTE)
Monthly]]*9</f>
        <v>12568.5</v>
      </c>
    </row>
    <row r="13" spans="1:5" ht="14.1" customHeight="1">
      <c r="A13" s="1343">
        <v>9</v>
      </c>
      <c r="B13" s="1342">
        <v>2821</v>
      </c>
      <c r="C13" s="1345">
        <f>Table3133[[#This Row],[Full-Time 
(1.0 FTE)
Monthly]]/2</f>
        <v>1410.5</v>
      </c>
      <c r="D13" s="1345">
        <f>Table3133[[#This Row],[Half-Time 
(.50 FTE)
Monthly]]/2</f>
        <v>705.25</v>
      </c>
      <c r="E13" s="1346">
        <f>Table3133[[#This Row],[Half-Time 
(.50 FTE)
Monthly]]*9</f>
        <v>12694.5</v>
      </c>
    </row>
    <row r="14" spans="1:5" ht="14.1" customHeight="1">
      <c r="A14" s="1343">
        <v>10</v>
      </c>
      <c r="B14" s="1344">
        <v>2848</v>
      </c>
      <c r="C14" s="1345">
        <f>Table3133[[#This Row],[Full-Time 
(1.0 FTE)
Monthly]]/2</f>
        <v>1424</v>
      </c>
      <c r="D14" s="1345">
        <f>Table3133[[#This Row],[Half-Time 
(.50 FTE)
Monthly]]/2</f>
        <v>712</v>
      </c>
      <c r="E14" s="1346">
        <f>Table3133[[#This Row],[Half-Time 
(.50 FTE)
Monthly]]*9</f>
        <v>12816</v>
      </c>
    </row>
    <row r="15" spans="1:5" ht="14.1" customHeight="1">
      <c r="A15" s="1343">
        <v>11</v>
      </c>
      <c r="B15" s="1342">
        <v>2875</v>
      </c>
      <c r="C15" s="1345">
        <f>Table3133[[#This Row],[Full-Time 
(1.0 FTE)
Monthly]]/2</f>
        <v>1437.5</v>
      </c>
      <c r="D15" s="1345">
        <f>Table3133[[#This Row],[Half-Time 
(.50 FTE)
Monthly]]/2</f>
        <v>718.75</v>
      </c>
      <c r="E15" s="1346">
        <f>Table3133[[#This Row],[Half-Time 
(.50 FTE)
Monthly]]*9</f>
        <v>12937.5</v>
      </c>
    </row>
    <row r="16" spans="1:5" ht="14.1" customHeight="1">
      <c r="A16" s="1343">
        <v>12</v>
      </c>
      <c r="B16" s="1344">
        <v>2903</v>
      </c>
      <c r="C16" s="1345">
        <f>Table3133[[#This Row],[Full-Time 
(1.0 FTE)
Monthly]]/2</f>
        <v>1451.5</v>
      </c>
      <c r="D16" s="1345">
        <f>Table3133[[#This Row],[Half-Time 
(.50 FTE)
Monthly]]/2</f>
        <v>725.75</v>
      </c>
      <c r="E16" s="1346">
        <f>Table3133[[#This Row],[Half-Time 
(.50 FTE)
Monthly]]*9</f>
        <v>13063.5</v>
      </c>
    </row>
    <row r="17" spans="1:5" ht="14.1" customHeight="1">
      <c r="A17" s="1343">
        <v>13</v>
      </c>
      <c r="B17" s="1342">
        <v>2938</v>
      </c>
      <c r="C17" s="1345">
        <f>Table3133[[#This Row],[Full-Time 
(1.0 FTE)
Monthly]]/2</f>
        <v>1469</v>
      </c>
      <c r="D17" s="1345">
        <f>Table3133[[#This Row],[Half-Time 
(.50 FTE)
Monthly]]/2</f>
        <v>734.5</v>
      </c>
      <c r="E17" s="1346">
        <f>Table3133[[#This Row],[Half-Time 
(.50 FTE)
Monthly]]*9</f>
        <v>13221</v>
      </c>
    </row>
    <row r="18" spans="1:5" ht="14.1" customHeight="1">
      <c r="A18" s="1343">
        <v>14</v>
      </c>
      <c r="B18" s="1344">
        <v>2962</v>
      </c>
      <c r="C18" s="1345">
        <f>Table3133[[#This Row],[Full-Time 
(1.0 FTE)
Monthly]]/2</f>
        <v>1481</v>
      </c>
      <c r="D18" s="1345">
        <f>Table3133[[#This Row],[Half-Time 
(.50 FTE)
Monthly]]/2</f>
        <v>740.5</v>
      </c>
      <c r="E18" s="1346">
        <f>Table3133[[#This Row],[Half-Time 
(.50 FTE)
Monthly]]*9</f>
        <v>13329</v>
      </c>
    </row>
    <row r="19" spans="1:5" ht="14.1" customHeight="1">
      <c r="A19" s="1343">
        <v>15</v>
      </c>
      <c r="B19" s="1342">
        <v>2989</v>
      </c>
      <c r="C19" s="1345">
        <f>Table3133[[#This Row],[Full-Time 
(1.0 FTE)
Monthly]]/2</f>
        <v>1494.5</v>
      </c>
      <c r="D19" s="1345">
        <f>Table3133[[#This Row],[Half-Time 
(.50 FTE)
Monthly]]/2</f>
        <v>747.25</v>
      </c>
      <c r="E19" s="1346">
        <f>Table3133[[#This Row],[Half-Time 
(.50 FTE)
Monthly]]*9</f>
        <v>13450.5</v>
      </c>
    </row>
    <row r="20" spans="1:5" ht="14.1" customHeight="1">
      <c r="A20" s="1343">
        <v>16</v>
      </c>
      <c r="B20" s="1344">
        <v>3022</v>
      </c>
      <c r="C20" s="1345">
        <f>Table3133[[#This Row],[Full-Time 
(1.0 FTE)
Monthly]]/2</f>
        <v>1511</v>
      </c>
      <c r="D20" s="1345">
        <f>Table3133[[#This Row],[Half-Time 
(.50 FTE)
Monthly]]/2</f>
        <v>755.5</v>
      </c>
      <c r="E20" s="1346">
        <f>Table3133[[#This Row],[Half-Time 
(.50 FTE)
Monthly]]*9</f>
        <v>13599</v>
      </c>
    </row>
    <row r="21" spans="1:5" ht="14.1" customHeight="1">
      <c r="A21" s="1343">
        <v>17</v>
      </c>
      <c r="B21" s="1342">
        <v>3056</v>
      </c>
      <c r="C21" s="1345">
        <f>Table3133[[#This Row],[Full-Time 
(1.0 FTE)
Monthly]]/2</f>
        <v>1528</v>
      </c>
      <c r="D21" s="1345">
        <f>Table3133[[#This Row],[Half-Time 
(.50 FTE)
Monthly]]/2</f>
        <v>764</v>
      </c>
      <c r="E21" s="1346">
        <f>Table3133[[#This Row],[Half-Time 
(.50 FTE)
Monthly]]*9</f>
        <v>13752</v>
      </c>
    </row>
    <row r="22" spans="1:5" ht="14.1" customHeight="1">
      <c r="A22" s="1343">
        <v>18</v>
      </c>
      <c r="B22" s="1344">
        <v>3087</v>
      </c>
      <c r="C22" s="1345">
        <f>Table3133[[#This Row],[Full-Time 
(1.0 FTE)
Monthly]]/2</f>
        <v>1543.5</v>
      </c>
      <c r="D22" s="1345">
        <f>Table3133[[#This Row],[Half-Time 
(.50 FTE)
Monthly]]/2</f>
        <v>771.75</v>
      </c>
      <c r="E22" s="1346">
        <f>Table3133[[#This Row],[Half-Time 
(.50 FTE)
Monthly]]*9</f>
        <v>13891.5</v>
      </c>
    </row>
    <row r="23" spans="1:5" ht="14.1" customHeight="1">
      <c r="A23" s="1343">
        <v>19</v>
      </c>
      <c r="B23" s="1342">
        <v>3113</v>
      </c>
      <c r="C23" s="1345">
        <f>Table3133[[#This Row],[Full-Time 
(1.0 FTE)
Monthly]]/2</f>
        <v>1556.5</v>
      </c>
      <c r="D23" s="1345">
        <f>Table3133[[#This Row],[Half-Time 
(.50 FTE)
Monthly]]/2</f>
        <v>778.25</v>
      </c>
      <c r="E23" s="1346">
        <f>Table3133[[#This Row],[Half-Time 
(.50 FTE)
Monthly]]*9</f>
        <v>14008.5</v>
      </c>
    </row>
    <row r="24" spans="1:5" ht="14.1" customHeight="1">
      <c r="A24" s="1343">
        <v>20</v>
      </c>
      <c r="B24" s="1344">
        <v>3148</v>
      </c>
      <c r="C24" s="1345">
        <f>Table3133[[#This Row],[Full-Time 
(1.0 FTE)
Monthly]]/2</f>
        <v>1574</v>
      </c>
      <c r="D24" s="1345">
        <f>Table3133[[#This Row],[Half-Time 
(.50 FTE)
Monthly]]/2</f>
        <v>787</v>
      </c>
      <c r="E24" s="1346">
        <f>Table3133[[#This Row],[Half-Time 
(.50 FTE)
Monthly]]*9</f>
        <v>14166</v>
      </c>
    </row>
    <row r="25" spans="1:5" ht="14.1" customHeight="1">
      <c r="A25" s="1343">
        <v>21</v>
      </c>
      <c r="B25" s="1342">
        <v>3180</v>
      </c>
      <c r="C25" s="1345">
        <f>Table3133[[#This Row],[Full-Time 
(1.0 FTE)
Monthly]]/2</f>
        <v>1590</v>
      </c>
      <c r="D25" s="1345">
        <f>Table3133[[#This Row],[Half-Time 
(.50 FTE)
Monthly]]/2</f>
        <v>795</v>
      </c>
      <c r="E25" s="1346">
        <f>Table3133[[#This Row],[Half-Time 
(.50 FTE)
Monthly]]*9</f>
        <v>14310</v>
      </c>
    </row>
    <row r="26" spans="1:5" ht="14.1" customHeight="1">
      <c r="A26" s="1343">
        <v>22</v>
      </c>
      <c r="B26" s="1344">
        <v>3206</v>
      </c>
      <c r="C26" s="1345">
        <f>Table3133[[#This Row],[Full-Time 
(1.0 FTE)
Monthly]]/2</f>
        <v>1603</v>
      </c>
      <c r="D26" s="1345">
        <f>Table3133[[#This Row],[Half-Time 
(.50 FTE)
Monthly]]/2</f>
        <v>801.5</v>
      </c>
      <c r="E26" s="1346">
        <f>Table3133[[#This Row],[Half-Time 
(.50 FTE)
Monthly]]*9</f>
        <v>14427</v>
      </c>
    </row>
    <row r="27" spans="1:5" ht="14.1" customHeight="1">
      <c r="A27" s="1343">
        <v>23</v>
      </c>
      <c r="B27" s="1342">
        <v>3243</v>
      </c>
      <c r="C27" s="1345">
        <f>Table3133[[#This Row],[Full-Time 
(1.0 FTE)
Monthly]]/2</f>
        <v>1621.5</v>
      </c>
      <c r="D27" s="1345">
        <f>Table3133[[#This Row],[Half-Time 
(.50 FTE)
Monthly]]/2</f>
        <v>810.75</v>
      </c>
      <c r="E27" s="1346">
        <f>Table3133[[#This Row],[Half-Time 
(.50 FTE)
Monthly]]*9</f>
        <v>14593.5</v>
      </c>
    </row>
    <row r="28" spans="1:5" ht="14.1" customHeight="1">
      <c r="A28" s="1343">
        <v>24</v>
      </c>
      <c r="B28" s="1344">
        <v>3275</v>
      </c>
      <c r="C28" s="1345">
        <f>Table3133[[#This Row],[Full-Time 
(1.0 FTE)
Monthly]]/2</f>
        <v>1637.5</v>
      </c>
      <c r="D28" s="1345">
        <f>Table3133[[#This Row],[Half-Time 
(.50 FTE)
Monthly]]/2</f>
        <v>818.75</v>
      </c>
      <c r="E28" s="1346">
        <f>Table3133[[#This Row],[Half-Time 
(.50 FTE)
Monthly]]*9</f>
        <v>14737.5</v>
      </c>
    </row>
    <row r="29" spans="1:5" ht="14.1" customHeight="1">
      <c r="A29" s="1343">
        <v>25</v>
      </c>
      <c r="B29" s="1342">
        <v>3307</v>
      </c>
      <c r="C29" s="1345">
        <f>Table3133[[#This Row],[Full-Time 
(1.0 FTE)
Monthly]]/2</f>
        <v>1653.5</v>
      </c>
      <c r="D29" s="1345">
        <f>Table3133[[#This Row],[Half-Time 
(.50 FTE)
Monthly]]/2</f>
        <v>826.75</v>
      </c>
      <c r="E29" s="1346">
        <f>Table3133[[#This Row],[Half-Time 
(.50 FTE)
Monthly]]*9</f>
        <v>14881.5</v>
      </c>
    </row>
    <row r="30" spans="1:5" ht="14.1" customHeight="1">
      <c r="A30" s="1343">
        <v>26</v>
      </c>
      <c r="B30" s="1344">
        <v>3340</v>
      </c>
      <c r="C30" s="1345">
        <f>Table3133[[#This Row],[Full-Time 
(1.0 FTE)
Monthly]]/2</f>
        <v>1670</v>
      </c>
      <c r="D30" s="1345">
        <f>Table3133[[#This Row],[Half-Time 
(.50 FTE)
Monthly]]/2</f>
        <v>835</v>
      </c>
      <c r="E30" s="1346">
        <f>Table3133[[#This Row],[Half-Time 
(.50 FTE)
Monthly]]*9</f>
        <v>15030</v>
      </c>
    </row>
    <row r="31" spans="1:5" ht="14.1" customHeight="1">
      <c r="A31" s="1343">
        <v>27</v>
      </c>
      <c r="B31" s="1342">
        <v>3371</v>
      </c>
      <c r="C31" s="1345">
        <f>Table3133[[#This Row],[Full-Time 
(1.0 FTE)
Monthly]]/2</f>
        <v>1685.5</v>
      </c>
      <c r="D31" s="1345">
        <f>Table3133[[#This Row],[Half-Time 
(.50 FTE)
Monthly]]/2</f>
        <v>842.75</v>
      </c>
      <c r="E31" s="1346">
        <f>Table3133[[#This Row],[Half-Time 
(.50 FTE)
Monthly]]*9</f>
        <v>15169.5</v>
      </c>
    </row>
    <row r="32" spans="1:5" ht="14.1" customHeight="1">
      <c r="A32" s="1343">
        <v>28</v>
      </c>
      <c r="B32" s="1344">
        <v>3405</v>
      </c>
      <c r="C32" s="1345">
        <f>Table3133[[#This Row],[Full-Time 
(1.0 FTE)
Monthly]]/2</f>
        <v>1702.5</v>
      </c>
      <c r="D32" s="1345">
        <f>Table3133[[#This Row],[Half-Time 
(.50 FTE)
Monthly]]/2</f>
        <v>851.25</v>
      </c>
      <c r="E32" s="1346">
        <f>Table3133[[#This Row],[Half-Time 
(.50 FTE)
Monthly]]*9</f>
        <v>15322.5</v>
      </c>
    </row>
    <row r="33" spans="1:5" ht="14.1" customHeight="1">
      <c r="A33" s="1343">
        <v>29</v>
      </c>
      <c r="B33" s="1342">
        <v>3442</v>
      </c>
      <c r="C33" s="1345">
        <f>Table3133[[#This Row],[Full-Time 
(1.0 FTE)
Monthly]]/2</f>
        <v>1721</v>
      </c>
      <c r="D33" s="1345">
        <f>Table3133[[#This Row],[Half-Time 
(.50 FTE)
Monthly]]/2</f>
        <v>860.5</v>
      </c>
      <c r="E33" s="1346">
        <f>Table3133[[#This Row],[Half-Time 
(.50 FTE)
Monthly]]*9</f>
        <v>15489</v>
      </c>
    </row>
    <row r="34" spans="1:5" ht="14.1" customHeight="1">
      <c r="A34" s="1343">
        <v>30</v>
      </c>
      <c r="B34" s="1344">
        <v>3476</v>
      </c>
      <c r="C34" s="1345">
        <f>Table3133[[#This Row],[Full-Time 
(1.0 FTE)
Monthly]]/2</f>
        <v>1738</v>
      </c>
      <c r="D34" s="1345">
        <f>Table3133[[#This Row],[Half-Time 
(.50 FTE)
Monthly]]/2</f>
        <v>869</v>
      </c>
      <c r="E34" s="1346">
        <f>Table3133[[#This Row],[Half-Time 
(.50 FTE)
Monthly]]*9</f>
        <v>15642</v>
      </c>
    </row>
    <row r="35" spans="1:5" ht="14.1" customHeight="1">
      <c r="A35" s="1343">
        <v>31</v>
      </c>
      <c r="B35" s="1347">
        <v>3512</v>
      </c>
      <c r="C35" s="1345">
        <f>Table3133[[#This Row],[Full-Time 
(1.0 FTE)
Monthly]]/2</f>
        <v>1756</v>
      </c>
      <c r="D35" s="1345">
        <f>Table3133[[#This Row],[Half-Time 
(.50 FTE)
Monthly]]/2</f>
        <v>878</v>
      </c>
      <c r="E35" s="1346">
        <f>Table3133[[#This Row],[Half-Time 
(.50 FTE)
Monthly]]*9</f>
        <v>15804</v>
      </c>
    </row>
    <row r="36" spans="1:5" ht="14.1" customHeight="1">
      <c r="A36" s="1343">
        <v>32</v>
      </c>
      <c r="B36" s="1347">
        <v>3544</v>
      </c>
      <c r="C36" s="1345">
        <f>Table3133[[#This Row],[Full-Time 
(1.0 FTE)
Monthly]]/2</f>
        <v>1772</v>
      </c>
      <c r="D36" s="1345">
        <f>Table3133[[#This Row],[Half-Time 
(.50 FTE)
Monthly]]/2</f>
        <v>886</v>
      </c>
      <c r="E36" s="1346">
        <f>Table3133[[#This Row],[Half-Time 
(.50 FTE)
Monthly]]*9</f>
        <v>15948</v>
      </c>
    </row>
    <row r="37" spans="1:5" ht="14.1" customHeight="1">
      <c r="A37" s="1343">
        <v>33</v>
      </c>
      <c r="B37" s="1347">
        <v>3581</v>
      </c>
      <c r="C37" s="1345">
        <f>Table3133[[#This Row],[Full-Time 
(1.0 FTE)
Monthly]]/2</f>
        <v>1790.5</v>
      </c>
      <c r="D37" s="1345">
        <f>Table3133[[#This Row],[Half-Time 
(.50 FTE)
Monthly]]/2</f>
        <v>895.25</v>
      </c>
      <c r="E37" s="1346">
        <f>Table3133[[#This Row],[Half-Time 
(.50 FTE)
Monthly]]*9</f>
        <v>16114.5</v>
      </c>
    </row>
    <row r="38" spans="1:5" ht="14.1" customHeight="1">
      <c r="A38" s="1343">
        <v>34</v>
      </c>
      <c r="B38" s="1347">
        <v>3615</v>
      </c>
      <c r="C38" s="1345">
        <f>Table3133[[#This Row],[Full-Time 
(1.0 FTE)
Monthly]]/2</f>
        <v>1807.5</v>
      </c>
      <c r="D38" s="1345">
        <f>Table3133[[#This Row],[Half-Time 
(.50 FTE)
Monthly]]/2</f>
        <v>903.75</v>
      </c>
      <c r="E38" s="1346">
        <f>Table3133[[#This Row],[Half-Time 
(.50 FTE)
Monthly]]*9</f>
        <v>16267.5</v>
      </c>
    </row>
    <row r="39" spans="1:5" ht="14.1" customHeight="1">
      <c r="A39" s="1343">
        <v>35</v>
      </c>
      <c r="B39" s="1347">
        <v>3652</v>
      </c>
      <c r="C39" s="1345">
        <f>Table3133[[#This Row],[Full-Time 
(1.0 FTE)
Monthly]]/2</f>
        <v>1826</v>
      </c>
      <c r="D39" s="1345">
        <f>Table3133[[#This Row],[Half-Time 
(.50 FTE)
Monthly]]/2</f>
        <v>913</v>
      </c>
      <c r="E39" s="1346">
        <f>Table3133[[#This Row],[Half-Time 
(.50 FTE)
Monthly]]*9</f>
        <v>16434</v>
      </c>
    </row>
    <row r="40" spans="1:5" ht="38.25" customHeight="1">
      <c r="A40" s="1348" t="s">
        <v>689</v>
      </c>
      <c r="B40" s="1349" t="s">
        <v>787</v>
      </c>
      <c r="C40" s="1350" t="s">
        <v>788</v>
      </c>
      <c r="D40" s="1349" t="s">
        <v>789</v>
      </c>
      <c r="E40" s="1351" t="s">
        <v>790</v>
      </c>
    </row>
    <row r="41" spans="1:5" ht="14.1" customHeight="1">
      <c r="A41" s="1343">
        <v>36</v>
      </c>
      <c r="B41" s="1347">
        <v>3688</v>
      </c>
      <c r="C41" s="1345">
        <f>Table3133[[#This Row],[Full-Time 
(1.0 FTE)
Monthly]]/2</f>
        <v>1844</v>
      </c>
      <c r="D41" s="1345">
        <f>Table3133[[#This Row],[Half-Time 
(.50 FTE)
Monthly]]/2</f>
        <v>922</v>
      </c>
      <c r="E41" s="1346">
        <f>Table3133[[#This Row],[Half-Time 
(.50 FTE)
Monthly]]*9</f>
        <v>16596</v>
      </c>
    </row>
    <row r="42" spans="1:5" ht="14.1" customHeight="1">
      <c r="A42" s="1343">
        <v>37</v>
      </c>
      <c r="B42" s="1347">
        <v>3727</v>
      </c>
      <c r="C42" s="1345">
        <f>Table3133[[#This Row],[Full-Time 
(1.0 FTE)
Monthly]]/2</f>
        <v>1863.5</v>
      </c>
      <c r="D42" s="1345">
        <f>Table3133[[#This Row],[Half-Time 
(.50 FTE)
Monthly]]/2</f>
        <v>931.75</v>
      </c>
      <c r="E42" s="1346">
        <f>Table3133[[#This Row],[Half-Time 
(.50 FTE)
Monthly]]*9</f>
        <v>16771.5</v>
      </c>
    </row>
    <row r="43" spans="1:5" ht="14.1" customHeight="1">
      <c r="A43" s="1343">
        <v>38</v>
      </c>
      <c r="B43" s="1347">
        <v>3762</v>
      </c>
      <c r="C43" s="1345">
        <f>Table3133[[#This Row],[Full-Time 
(1.0 FTE)
Monthly]]/2</f>
        <v>1881</v>
      </c>
      <c r="D43" s="1345">
        <f>Table3133[[#This Row],[Half-Time 
(.50 FTE)
Monthly]]/2</f>
        <v>940.5</v>
      </c>
      <c r="E43" s="1346">
        <f>Table3133[[#This Row],[Half-Time 
(.50 FTE)
Monthly]]*9</f>
        <v>16929</v>
      </c>
    </row>
    <row r="44" spans="1:5" ht="14.1" customHeight="1">
      <c r="A44" s="1343">
        <v>39</v>
      </c>
      <c r="B44" s="1347">
        <v>3800</v>
      </c>
      <c r="C44" s="1345">
        <f>Table3133[[#This Row],[Full-Time 
(1.0 FTE)
Monthly]]/2</f>
        <v>1900</v>
      </c>
      <c r="D44" s="1345">
        <f>Table3133[[#This Row],[Half-Time 
(.50 FTE)
Monthly]]/2</f>
        <v>950</v>
      </c>
      <c r="E44" s="1346">
        <f>Table3133[[#This Row],[Half-Time 
(.50 FTE)
Monthly]]*9</f>
        <v>17100</v>
      </c>
    </row>
    <row r="45" spans="1:5" ht="14.1" customHeight="1">
      <c r="A45" s="1343">
        <v>40</v>
      </c>
      <c r="B45" s="1347">
        <v>3837</v>
      </c>
      <c r="C45" s="1345">
        <f>Table3133[[#This Row],[Full-Time 
(1.0 FTE)
Monthly]]/2</f>
        <v>1918.5</v>
      </c>
      <c r="D45" s="1345">
        <f>Table3133[[#This Row],[Half-Time 
(.50 FTE)
Monthly]]/2</f>
        <v>959.25</v>
      </c>
      <c r="E45" s="1346">
        <f>Table3133[[#This Row],[Half-Time 
(.50 FTE)
Monthly]]*9</f>
        <v>17266.5</v>
      </c>
    </row>
    <row r="46" spans="1:5" ht="14.1" customHeight="1">
      <c r="A46" s="1343">
        <v>41</v>
      </c>
      <c r="B46" s="1347">
        <v>3878</v>
      </c>
      <c r="C46" s="1345">
        <f>Table3133[[#This Row],[Full-Time 
(1.0 FTE)
Monthly]]/2</f>
        <v>1939</v>
      </c>
      <c r="D46" s="1345">
        <f>Table3133[[#This Row],[Half-Time 
(.50 FTE)
Monthly]]/2</f>
        <v>969.5</v>
      </c>
      <c r="E46" s="1346">
        <f>Table3133[[#This Row],[Half-Time 
(.50 FTE)
Monthly]]*9</f>
        <v>17451</v>
      </c>
    </row>
    <row r="47" spans="1:5" ht="14.1" customHeight="1">
      <c r="A47" s="1343">
        <v>42</v>
      </c>
      <c r="B47" s="1347">
        <v>3913</v>
      </c>
      <c r="C47" s="1345">
        <f>Table3133[[#This Row],[Full-Time 
(1.0 FTE)
Monthly]]/2</f>
        <v>1956.5</v>
      </c>
      <c r="D47" s="1345">
        <f>Table3133[[#This Row],[Half-Time 
(.50 FTE)
Monthly]]/2</f>
        <v>978.25</v>
      </c>
      <c r="E47" s="1346">
        <f>Table3133[[#This Row],[Half-Time 
(.50 FTE)
Monthly]]*9</f>
        <v>17608.5</v>
      </c>
    </row>
    <row r="48" spans="1:5" ht="14.1" customHeight="1">
      <c r="A48" s="1343">
        <v>43</v>
      </c>
      <c r="B48" s="1347">
        <v>3954</v>
      </c>
      <c r="C48" s="1345">
        <f>Table3133[[#This Row],[Full-Time 
(1.0 FTE)
Monthly]]/2</f>
        <v>1977</v>
      </c>
      <c r="D48" s="1345">
        <f>Table3133[[#This Row],[Half-Time 
(.50 FTE)
Monthly]]/2</f>
        <v>988.5</v>
      </c>
      <c r="E48" s="1346">
        <f>Table3133[[#This Row],[Half-Time 
(.50 FTE)
Monthly]]*9</f>
        <v>17793</v>
      </c>
    </row>
    <row r="49" spans="1:5" ht="14.1" customHeight="1">
      <c r="A49" s="1343">
        <v>44</v>
      </c>
      <c r="B49" s="1347">
        <v>3995</v>
      </c>
      <c r="C49" s="1345">
        <f>Table3133[[#This Row],[Full-Time 
(1.0 FTE)
Monthly]]/2</f>
        <v>1997.5</v>
      </c>
      <c r="D49" s="1345">
        <f>Table3133[[#This Row],[Half-Time 
(.50 FTE)
Monthly]]/2</f>
        <v>998.75</v>
      </c>
      <c r="E49" s="1346">
        <f>Table3133[[#This Row],[Half-Time 
(.50 FTE)
Monthly]]*9</f>
        <v>17977.5</v>
      </c>
    </row>
    <row r="50" spans="1:5" ht="14.1" customHeight="1">
      <c r="A50" s="1343">
        <v>45</v>
      </c>
      <c r="B50" s="1347">
        <v>4035</v>
      </c>
      <c r="C50" s="1345">
        <f>Table3133[[#This Row],[Full-Time 
(1.0 FTE)
Monthly]]/2</f>
        <v>2017.5</v>
      </c>
      <c r="D50" s="1345">
        <f>Table3133[[#This Row],[Half-Time 
(.50 FTE)
Monthly]]/2</f>
        <v>1008.75</v>
      </c>
      <c r="E50" s="1346">
        <f>Table3133[[#This Row],[Half-Time 
(.50 FTE)
Monthly]]*9</f>
        <v>18157.5</v>
      </c>
    </row>
    <row r="51" spans="1:5" ht="14.1" customHeight="1">
      <c r="A51" s="1343">
        <v>46</v>
      </c>
      <c r="B51" s="1347">
        <v>4073</v>
      </c>
      <c r="C51" s="1345">
        <f>Table3133[[#This Row],[Full-Time 
(1.0 FTE)
Monthly]]/2</f>
        <v>2036.5</v>
      </c>
      <c r="D51" s="1345">
        <f>Table3133[[#This Row],[Half-Time 
(.50 FTE)
Monthly]]/2</f>
        <v>1018.25</v>
      </c>
      <c r="E51" s="1346">
        <f>Table3133[[#This Row],[Half-Time 
(.50 FTE)
Monthly]]*9</f>
        <v>18328.5</v>
      </c>
    </row>
    <row r="52" spans="1:5" ht="14.1" customHeight="1">
      <c r="A52" s="1343">
        <v>47</v>
      </c>
      <c r="B52" s="1347">
        <v>4118</v>
      </c>
      <c r="C52" s="1345">
        <f>Table3133[[#This Row],[Full-Time 
(1.0 FTE)
Monthly]]/2</f>
        <v>2059</v>
      </c>
      <c r="D52" s="1345">
        <f>Table3133[[#This Row],[Half-Time 
(.50 FTE)
Monthly]]/2</f>
        <v>1029.5</v>
      </c>
      <c r="E52" s="1346">
        <f>Table3133[[#This Row],[Half-Time 
(.50 FTE)
Monthly]]*9</f>
        <v>18531</v>
      </c>
    </row>
    <row r="53" spans="1:5" ht="14.1" customHeight="1">
      <c r="A53" s="1343">
        <v>48</v>
      </c>
      <c r="B53" s="1347">
        <v>4156</v>
      </c>
      <c r="C53" s="1345">
        <f>Table3133[[#This Row],[Full-Time 
(1.0 FTE)
Monthly]]/2</f>
        <v>2078</v>
      </c>
      <c r="D53" s="1345">
        <f>Table3133[[#This Row],[Half-Time 
(.50 FTE)
Monthly]]/2</f>
        <v>1039</v>
      </c>
      <c r="E53" s="1346">
        <f>Table3133[[#This Row],[Half-Time 
(.50 FTE)
Monthly]]*9</f>
        <v>18702</v>
      </c>
    </row>
    <row r="54" spans="1:5" ht="14.1" customHeight="1">
      <c r="A54" s="1343">
        <v>49</v>
      </c>
      <c r="B54" s="1347">
        <v>4199</v>
      </c>
      <c r="C54" s="1345">
        <f>Table3133[[#This Row],[Full-Time 
(1.0 FTE)
Monthly]]/2</f>
        <v>2099.5</v>
      </c>
      <c r="D54" s="1345">
        <f>Table3133[[#This Row],[Half-Time 
(.50 FTE)
Monthly]]/2</f>
        <v>1049.75</v>
      </c>
      <c r="E54" s="1346">
        <f>Table3133[[#This Row],[Half-Time 
(.50 FTE)
Monthly]]*9</f>
        <v>18895.5</v>
      </c>
    </row>
    <row r="55" spans="1:5" ht="14.1" customHeight="1">
      <c r="A55" s="1343">
        <v>50</v>
      </c>
      <c r="B55" s="1347">
        <v>4239</v>
      </c>
      <c r="C55" s="1345">
        <f>Table3133[[#This Row],[Full-Time 
(1.0 FTE)
Monthly]]/2</f>
        <v>2119.5</v>
      </c>
      <c r="D55" s="1345">
        <f>Table3133[[#This Row],[Half-Time 
(.50 FTE)
Monthly]]/2</f>
        <v>1059.75</v>
      </c>
      <c r="E55" s="1346">
        <f>Table3133[[#This Row],[Half-Time 
(.50 FTE)
Monthly]]*9</f>
        <v>19075.5</v>
      </c>
    </row>
    <row r="56" spans="1:5" ht="14.1" customHeight="1">
      <c r="A56" s="1343">
        <v>51</v>
      </c>
      <c r="B56" s="1347">
        <v>4280</v>
      </c>
      <c r="C56" s="1345">
        <f>Table3133[[#This Row],[Full-Time 
(1.0 FTE)
Monthly]]/2</f>
        <v>2140</v>
      </c>
      <c r="D56" s="1345">
        <f>Table3133[[#This Row],[Half-Time 
(.50 FTE)
Monthly]]/2</f>
        <v>1070</v>
      </c>
      <c r="E56" s="1346">
        <f>Table3133[[#This Row],[Half-Time 
(.50 FTE)
Monthly]]*9</f>
        <v>19260</v>
      </c>
    </row>
    <row r="57" spans="1:5" ht="14.1" customHeight="1">
      <c r="A57" s="1343">
        <v>52</v>
      </c>
      <c r="B57" s="1347">
        <v>4327</v>
      </c>
      <c r="C57" s="1345">
        <f>Table3133[[#This Row],[Full-Time 
(1.0 FTE)
Monthly]]/2</f>
        <v>2163.5</v>
      </c>
      <c r="D57" s="1345">
        <f>Table3133[[#This Row],[Half-Time 
(.50 FTE)
Monthly]]/2</f>
        <v>1081.75</v>
      </c>
      <c r="E57" s="1346">
        <f>Table3133[[#This Row],[Half-Time 
(.50 FTE)
Monthly]]*9</f>
        <v>19471.5</v>
      </c>
    </row>
    <row r="58" spans="1:5" ht="14.1" customHeight="1">
      <c r="A58" s="1343">
        <v>53</v>
      </c>
      <c r="B58" s="1347">
        <v>4367</v>
      </c>
      <c r="C58" s="1345">
        <f>Table3133[[#This Row],[Full-Time 
(1.0 FTE)
Monthly]]/2</f>
        <v>2183.5</v>
      </c>
      <c r="D58" s="1345">
        <f>Table3133[[#This Row],[Half-Time 
(.50 FTE)
Monthly]]/2</f>
        <v>1091.75</v>
      </c>
      <c r="E58" s="1346">
        <f>Table3133[[#This Row],[Half-Time 
(.50 FTE)
Monthly]]*9</f>
        <v>19651.5</v>
      </c>
    </row>
    <row r="59" spans="1:5" ht="14.1" customHeight="1">
      <c r="A59" s="1343">
        <v>54</v>
      </c>
      <c r="B59" s="1347">
        <v>4416</v>
      </c>
      <c r="C59" s="1345">
        <f>Table3133[[#This Row],[Full-Time 
(1.0 FTE)
Monthly]]/2</f>
        <v>2208</v>
      </c>
      <c r="D59" s="1345">
        <f>Table3133[[#This Row],[Half-Time 
(.50 FTE)
Monthly]]/2</f>
        <v>1104</v>
      </c>
      <c r="E59" s="1346">
        <f>Table3133[[#This Row],[Half-Time 
(.50 FTE)
Monthly]]*9</f>
        <v>19872</v>
      </c>
    </row>
    <row r="60" spans="1:5" ht="14.1" customHeight="1">
      <c r="A60" s="1343">
        <v>55</v>
      </c>
      <c r="B60" s="1347">
        <v>4454</v>
      </c>
      <c r="C60" s="1345">
        <f>Table3133[[#This Row],[Full-Time 
(1.0 FTE)
Monthly]]/2</f>
        <v>2227</v>
      </c>
      <c r="D60" s="1345">
        <f>Table3133[[#This Row],[Half-Time 
(.50 FTE)
Monthly]]/2</f>
        <v>1113.5</v>
      </c>
      <c r="E60" s="1346">
        <f>Table3133[[#This Row],[Half-Time 
(.50 FTE)
Monthly]]*9</f>
        <v>20043</v>
      </c>
    </row>
    <row r="61" spans="1:5" ht="14.1" customHeight="1">
      <c r="A61" s="1343">
        <v>56</v>
      </c>
      <c r="B61" s="1347">
        <v>4499</v>
      </c>
      <c r="C61" s="1345">
        <f>Table3133[[#This Row],[Full-Time 
(1.0 FTE)
Monthly]]/2</f>
        <v>2249.5</v>
      </c>
      <c r="D61" s="1345">
        <f>Table3133[[#This Row],[Half-Time 
(.50 FTE)
Monthly]]/2</f>
        <v>1124.75</v>
      </c>
      <c r="E61" s="1346">
        <f>Table3133[[#This Row],[Half-Time 
(.50 FTE)
Monthly]]*9</f>
        <v>20245.5</v>
      </c>
    </row>
    <row r="62" spans="1:5" ht="14.1" customHeight="1">
      <c r="A62" s="1343">
        <v>57</v>
      </c>
      <c r="B62" s="1347">
        <v>4549</v>
      </c>
      <c r="C62" s="1345">
        <f>Table3133[[#This Row],[Full-Time 
(1.0 FTE)
Monthly]]/2</f>
        <v>2274.5</v>
      </c>
      <c r="D62" s="1345">
        <f>Table3133[[#This Row],[Half-Time 
(.50 FTE)
Monthly]]/2</f>
        <v>1137.25</v>
      </c>
      <c r="E62" s="1346">
        <f>Table3133[[#This Row],[Half-Time 
(.50 FTE)
Monthly]]*9</f>
        <v>20470.5</v>
      </c>
    </row>
    <row r="63" spans="1:5" ht="14.1" customHeight="1">
      <c r="A63" s="1343">
        <v>58</v>
      </c>
      <c r="B63" s="1347">
        <v>4590</v>
      </c>
      <c r="C63" s="1345">
        <f>Table3133[[#This Row],[Full-Time 
(1.0 FTE)
Monthly]]/2</f>
        <v>2295</v>
      </c>
      <c r="D63" s="1345">
        <f>Table3133[[#This Row],[Half-Time 
(.50 FTE)
Monthly]]/2</f>
        <v>1147.5</v>
      </c>
      <c r="E63" s="1346">
        <f>Table3133[[#This Row],[Half-Time 
(.50 FTE)
Monthly]]*9</f>
        <v>20655</v>
      </c>
    </row>
    <row r="64" spans="1:5" ht="14.1" customHeight="1">
      <c r="A64" s="1343">
        <v>59</v>
      </c>
      <c r="B64" s="1347">
        <v>4637</v>
      </c>
      <c r="C64" s="1345">
        <f>Table3133[[#This Row],[Full-Time 
(1.0 FTE)
Monthly]]/2</f>
        <v>2318.5</v>
      </c>
      <c r="D64" s="1345">
        <f>Table3133[[#This Row],[Half-Time 
(.50 FTE)
Monthly]]/2</f>
        <v>1159.25</v>
      </c>
      <c r="E64" s="1346">
        <f>Table3133[[#This Row],[Half-Time 
(.50 FTE)
Monthly]]*9</f>
        <v>20866.5</v>
      </c>
    </row>
    <row r="65" spans="1:5" ht="14.1" customHeight="1">
      <c r="A65" s="1343">
        <v>60</v>
      </c>
      <c r="B65" s="1347">
        <v>4685</v>
      </c>
      <c r="C65" s="1345">
        <f>Table3133[[#This Row],[Full-Time 
(1.0 FTE)
Monthly]]/2</f>
        <v>2342.5</v>
      </c>
      <c r="D65" s="1345">
        <f>Table3133[[#This Row],[Half-Time 
(.50 FTE)
Monthly]]/2</f>
        <v>1171.25</v>
      </c>
      <c r="E65" s="1346">
        <f>Table3133[[#This Row],[Half-Time 
(.50 FTE)
Monthly]]*9</f>
        <v>21082.5</v>
      </c>
    </row>
    <row r="66" spans="1:5" ht="14.1" customHeight="1">
      <c r="A66" s="1343">
        <v>61</v>
      </c>
      <c r="B66" s="1347">
        <v>4730</v>
      </c>
      <c r="C66" s="1345">
        <f>Table3133[[#This Row],[Full-Time 
(1.0 FTE)
Monthly]]/2</f>
        <v>2365</v>
      </c>
      <c r="D66" s="1345">
        <f>Table3133[[#This Row],[Half-Time 
(.50 FTE)
Monthly]]/2</f>
        <v>1182.5</v>
      </c>
      <c r="E66" s="1346">
        <f>Table3133[[#This Row],[Half-Time 
(.50 FTE)
Monthly]]*9</f>
        <v>21285</v>
      </c>
    </row>
    <row r="67" spans="1:5" ht="14.1" customHeight="1">
      <c r="A67" s="1343">
        <v>62</v>
      </c>
      <c r="B67" s="1347">
        <v>4778</v>
      </c>
      <c r="C67" s="1345">
        <f>Table3133[[#This Row],[Full-Time 
(1.0 FTE)
Monthly]]/2</f>
        <v>2389</v>
      </c>
      <c r="D67" s="1345">
        <f>Table3133[[#This Row],[Half-Time 
(.50 FTE)
Monthly]]/2</f>
        <v>1194.5</v>
      </c>
      <c r="E67" s="1346">
        <f>Table3133[[#This Row],[Half-Time 
(.50 FTE)
Monthly]]*9</f>
        <v>21501</v>
      </c>
    </row>
    <row r="68" spans="1:5" ht="14.1" customHeight="1">
      <c r="A68" s="1343">
        <v>63</v>
      </c>
      <c r="B68" s="1347">
        <v>4826</v>
      </c>
      <c r="C68" s="1345">
        <f>Table3133[[#This Row],[Full-Time 
(1.0 FTE)
Monthly]]/2</f>
        <v>2413</v>
      </c>
      <c r="D68" s="1345">
        <f>Table3133[[#This Row],[Half-Time 
(.50 FTE)
Monthly]]/2</f>
        <v>1206.5</v>
      </c>
      <c r="E68" s="1346">
        <f>Table3133[[#This Row],[Half-Time 
(.50 FTE)
Monthly]]*9</f>
        <v>21717</v>
      </c>
    </row>
    <row r="69" spans="1:5" ht="14.1" customHeight="1">
      <c r="A69" s="1343">
        <v>64</v>
      </c>
      <c r="B69" s="1347">
        <v>4874</v>
      </c>
      <c r="C69" s="1345">
        <f>Table3133[[#This Row],[Full-Time 
(1.0 FTE)
Monthly]]/2</f>
        <v>2437</v>
      </c>
      <c r="D69" s="1345">
        <f>Table3133[[#This Row],[Half-Time 
(.50 FTE)
Monthly]]/2</f>
        <v>1218.5</v>
      </c>
      <c r="E69" s="1346">
        <f>Table3133[[#This Row],[Half-Time 
(.50 FTE)
Monthly]]*9</f>
        <v>21933</v>
      </c>
    </row>
    <row r="70" spans="1:5" ht="14.1" customHeight="1">
      <c r="A70" s="1343">
        <v>65</v>
      </c>
      <c r="B70" s="1347">
        <v>4921</v>
      </c>
      <c r="C70" s="1345">
        <f>Table3133[[#This Row],[Full-Time 
(1.0 FTE)
Monthly]]/2</f>
        <v>2460.5</v>
      </c>
      <c r="D70" s="1345">
        <f>Table3133[[#This Row],[Half-Time 
(.50 FTE)
Monthly]]/2</f>
        <v>1230.25</v>
      </c>
      <c r="E70" s="1346">
        <f>Table3133[[#This Row],[Half-Time 
(.50 FTE)
Monthly]]*9</f>
        <v>22144.5</v>
      </c>
    </row>
    <row r="71" spans="1:5" ht="14.1" customHeight="1">
      <c r="A71" s="1343">
        <v>66</v>
      </c>
      <c r="B71" s="1347">
        <v>4971</v>
      </c>
      <c r="C71" s="1345">
        <f>Table3133[[#This Row],[Full-Time 
(1.0 FTE)
Monthly]]/2</f>
        <v>2485.5</v>
      </c>
      <c r="D71" s="1345">
        <f>Table3133[[#This Row],[Half-Time 
(.50 FTE)
Monthly]]/2</f>
        <v>1242.75</v>
      </c>
      <c r="E71" s="1346">
        <f>Table3133[[#This Row],[Half-Time 
(.50 FTE)
Monthly]]*9</f>
        <v>22369.5</v>
      </c>
    </row>
    <row r="72" spans="1:5" ht="14.1" customHeight="1">
      <c r="A72" s="1343">
        <v>67</v>
      </c>
      <c r="B72" s="1347">
        <v>5024</v>
      </c>
      <c r="C72" s="1345">
        <f>Table3133[[#This Row],[Full-Time 
(1.0 FTE)
Monthly]]/2</f>
        <v>2512</v>
      </c>
      <c r="D72" s="1345">
        <f>Table3133[[#This Row],[Half-Time 
(.50 FTE)
Monthly]]/2</f>
        <v>1256</v>
      </c>
      <c r="E72" s="1346">
        <f>Table3133[[#This Row],[Half-Time 
(.50 FTE)
Monthly]]*9</f>
        <v>22608</v>
      </c>
    </row>
    <row r="73" spans="1:5" ht="14.1" customHeight="1">
      <c r="A73" s="1343">
        <v>68</v>
      </c>
      <c r="B73" s="1347">
        <v>5074</v>
      </c>
      <c r="C73" s="1345">
        <f>Table3133[[#This Row],[Full-Time 
(1.0 FTE)
Monthly]]/2</f>
        <v>2537</v>
      </c>
      <c r="D73" s="1345">
        <f>Table3133[[#This Row],[Half-Time 
(.50 FTE)
Monthly]]/2</f>
        <v>1268.5</v>
      </c>
      <c r="E73" s="1346">
        <f>Table3133[[#This Row],[Half-Time 
(.50 FTE)
Monthly]]*9</f>
        <v>22833</v>
      </c>
    </row>
    <row r="74" spans="1:5" ht="14.1" customHeight="1">
      <c r="A74" s="1343">
        <v>69</v>
      </c>
      <c r="B74" s="1347">
        <v>5122</v>
      </c>
      <c r="C74" s="1345">
        <f>Table3133[[#This Row],[Full-Time 
(1.0 FTE)
Monthly]]/2</f>
        <v>2561</v>
      </c>
      <c r="D74" s="1345">
        <f>Table3133[[#This Row],[Half-Time 
(.50 FTE)
Monthly]]/2</f>
        <v>1280.5</v>
      </c>
      <c r="E74" s="1346">
        <f>Table3133[[#This Row],[Half-Time 
(.50 FTE)
Monthly]]*9</f>
        <v>23049</v>
      </c>
    </row>
    <row r="75" spans="1:5" ht="14.1" customHeight="1">
      <c r="A75" s="1343">
        <v>70</v>
      </c>
      <c r="B75" s="1347">
        <v>5173</v>
      </c>
      <c r="C75" s="1345">
        <f>Table3133[[#This Row],[Full-Time 
(1.0 FTE)
Monthly]]/2</f>
        <v>2586.5</v>
      </c>
      <c r="D75" s="1345">
        <f>Table3133[[#This Row],[Half-Time 
(.50 FTE)
Monthly]]/2</f>
        <v>1293.25</v>
      </c>
      <c r="E75" s="1346">
        <f>Table3133[[#This Row],[Half-Time 
(.50 FTE)
Monthly]]*9</f>
        <v>23278.5</v>
      </c>
    </row>
    <row r="76" spans="1:5" ht="14.1" customHeight="1">
      <c r="A76" s="1343">
        <v>71</v>
      </c>
      <c r="B76" s="1347">
        <v>5224</v>
      </c>
      <c r="C76" s="1345">
        <f>Table3133[[#This Row],[Full-Time 
(1.0 FTE)
Monthly]]/2</f>
        <v>2612</v>
      </c>
      <c r="D76" s="1345">
        <f>Table3133[[#This Row],[Half-Time 
(.50 FTE)
Monthly]]/2</f>
        <v>1306</v>
      </c>
      <c r="E76" s="1346">
        <f>Table3133[[#This Row],[Half-Time 
(.50 FTE)
Monthly]]*9</f>
        <v>23508</v>
      </c>
    </row>
    <row r="77" spans="1:5" ht="14.1" customHeight="1">
      <c r="A77" s="1343">
        <v>72</v>
      </c>
      <c r="B77" s="1347">
        <v>5280</v>
      </c>
      <c r="C77" s="1345">
        <f>Table3133[[#This Row],[Full-Time 
(1.0 FTE)
Monthly]]/2</f>
        <v>2640</v>
      </c>
      <c r="D77" s="1345">
        <f>Table3133[[#This Row],[Half-Time 
(.50 FTE)
Monthly]]/2</f>
        <v>1320</v>
      </c>
      <c r="E77" s="1346">
        <f>Table3133[[#This Row],[Half-Time 
(.50 FTE)
Monthly]]*9</f>
        <v>23760</v>
      </c>
    </row>
    <row r="78" spans="1:5" ht="14.1" customHeight="1">
      <c r="A78" s="1343">
        <v>73</v>
      </c>
      <c r="B78" s="1347">
        <v>5329</v>
      </c>
      <c r="C78" s="1345">
        <f>Table3133[[#This Row],[Full-Time 
(1.0 FTE)
Monthly]]/2</f>
        <v>2664.5</v>
      </c>
      <c r="D78" s="1345">
        <f>Table3133[[#This Row],[Half-Time 
(.50 FTE)
Monthly]]/2</f>
        <v>1332.25</v>
      </c>
      <c r="E78" s="1346">
        <f>Table3133[[#This Row],[Half-Time 
(.50 FTE)
Monthly]]*9</f>
        <v>23980.5</v>
      </c>
    </row>
    <row r="79" spans="1:5" ht="14.1" customHeight="1">
      <c r="A79" s="1343">
        <v>74</v>
      </c>
      <c r="B79" s="1347">
        <v>5382</v>
      </c>
      <c r="C79" s="1345">
        <f>Table3133[[#This Row],[Full-Time 
(1.0 FTE)
Monthly]]/2</f>
        <v>2691</v>
      </c>
      <c r="D79" s="1345">
        <f>Table3133[[#This Row],[Half-Time 
(.50 FTE)
Monthly]]/2</f>
        <v>1345.5</v>
      </c>
      <c r="E79" s="1346">
        <f>Table3133[[#This Row],[Half-Time 
(.50 FTE)
Monthly]]*9</f>
        <v>24219</v>
      </c>
    </row>
    <row r="80" spans="1:5" ht="14.1" customHeight="1">
      <c r="A80" s="1343">
        <v>75</v>
      </c>
      <c r="B80" s="1347">
        <v>5438</v>
      </c>
      <c r="C80" s="1345">
        <f>Table3133[[#This Row],[Full-Time 
(1.0 FTE)
Monthly]]/2</f>
        <v>2719</v>
      </c>
      <c r="D80" s="1345">
        <f>Table3133[[#This Row],[Half-Time 
(.50 FTE)
Monthly]]/2</f>
        <v>1359.5</v>
      </c>
      <c r="E80" s="1346">
        <f>Table3133[[#This Row],[Half-Time 
(.50 FTE)
Monthly]]*9</f>
        <v>24471</v>
      </c>
    </row>
    <row r="81" spans="1:5" ht="14.1" customHeight="1">
      <c r="A81" s="1343">
        <v>76</v>
      </c>
      <c r="B81" s="1347">
        <v>5495</v>
      </c>
      <c r="C81" s="1345">
        <f>Table3133[[#This Row],[Full-Time 
(1.0 FTE)
Monthly]]/2</f>
        <v>2747.5</v>
      </c>
      <c r="D81" s="1345">
        <f>Table3133[[#This Row],[Half-Time 
(.50 FTE)
Monthly]]/2</f>
        <v>1373.75</v>
      </c>
      <c r="E81" s="1346">
        <f>Table3133[[#This Row],[Half-Time 
(.50 FTE)
Monthly]]*9</f>
        <v>24727.5</v>
      </c>
    </row>
    <row r="82" spans="1:5" ht="14.1" customHeight="1">
      <c r="A82" s="1343">
        <v>77</v>
      </c>
      <c r="B82" s="1347">
        <v>5546</v>
      </c>
      <c r="C82" s="1345">
        <f>Table3133[[#This Row],[Full-Time 
(1.0 FTE)
Monthly]]/2</f>
        <v>2773</v>
      </c>
      <c r="D82" s="1345">
        <f>Table3133[[#This Row],[Half-Time 
(.50 FTE)
Monthly]]/2</f>
        <v>1386.5</v>
      </c>
      <c r="E82" s="1346">
        <f>Table3133[[#This Row],[Half-Time 
(.50 FTE)
Monthly]]*9</f>
        <v>24957</v>
      </c>
    </row>
    <row r="83" spans="1:5" ht="14.1" customHeight="1">
      <c r="A83" s="1343">
        <v>78</v>
      </c>
      <c r="B83" s="1347">
        <v>5600</v>
      </c>
      <c r="C83" s="1345">
        <f>Table3133[[#This Row],[Full-Time 
(1.0 FTE)
Monthly]]/2</f>
        <v>2800</v>
      </c>
      <c r="D83" s="1345">
        <f>Table3133[[#This Row],[Half-Time 
(.50 FTE)
Monthly]]/2</f>
        <v>1400</v>
      </c>
      <c r="E83" s="1346">
        <f>Table3133[[#This Row],[Half-Time 
(.50 FTE)
Monthly]]*9</f>
        <v>25200</v>
      </c>
    </row>
    <row r="84" spans="1:5" ht="36" customHeight="1">
      <c r="A84" s="1348" t="s">
        <v>689</v>
      </c>
      <c r="B84" s="1349" t="s">
        <v>787</v>
      </c>
      <c r="C84" s="1350" t="s">
        <v>788</v>
      </c>
      <c r="D84" s="1349" t="s">
        <v>789</v>
      </c>
      <c r="E84" s="1351" t="s">
        <v>790</v>
      </c>
    </row>
    <row r="85" spans="1:5" ht="14.1" customHeight="1">
      <c r="A85" s="1343">
        <v>79</v>
      </c>
      <c r="B85" s="1347">
        <v>5659</v>
      </c>
      <c r="C85" s="1345">
        <f>Table3133[[#This Row],[Full-Time 
(1.0 FTE)
Monthly]]/2</f>
        <v>2829.5</v>
      </c>
      <c r="D85" s="1345">
        <f>Table3133[[#This Row],[Half-Time 
(.50 FTE)
Monthly]]/2</f>
        <v>1414.75</v>
      </c>
      <c r="E85" s="1346">
        <f>Table3133[[#This Row],[Half-Time 
(.50 FTE)
Monthly]]*9</f>
        <v>25465.5</v>
      </c>
    </row>
    <row r="86" spans="1:5" ht="14.1" customHeight="1">
      <c r="A86" s="1343">
        <v>80</v>
      </c>
      <c r="B86" s="1347">
        <v>5716</v>
      </c>
      <c r="C86" s="1345">
        <f>Table3133[[#This Row],[Full-Time 
(1.0 FTE)
Monthly]]/2</f>
        <v>2858</v>
      </c>
      <c r="D86" s="1345">
        <f>Table3133[[#This Row],[Half-Time 
(.50 FTE)
Monthly]]/2</f>
        <v>1429</v>
      </c>
      <c r="E86" s="1346">
        <f>Table3133[[#This Row],[Half-Time 
(.50 FTE)
Monthly]]*9</f>
        <v>25722</v>
      </c>
    </row>
    <row r="87" spans="1:5" ht="14.1" customHeight="1">
      <c r="A87" s="1343">
        <v>81</v>
      </c>
      <c r="B87" s="1347">
        <v>5773</v>
      </c>
      <c r="C87" s="1345">
        <f>Table3133[[#This Row],[Full-Time 
(1.0 FTE)
Monthly]]/2</f>
        <v>2886.5</v>
      </c>
      <c r="D87" s="1345">
        <f>Table3133[[#This Row],[Half-Time 
(.50 FTE)
Monthly]]/2</f>
        <v>1443.25</v>
      </c>
      <c r="E87" s="1346">
        <f>Table3133[[#This Row],[Half-Time 
(.50 FTE)
Monthly]]*9</f>
        <v>25978.5</v>
      </c>
    </row>
    <row r="88" spans="1:5" ht="14.1" customHeight="1">
      <c r="A88" s="1343">
        <v>82</v>
      </c>
      <c r="B88" s="1347">
        <v>5829</v>
      </c>
      <c r="C88" s="1345">
        <f>Table3133[[#This Row],[Full-Time 
(1.0 FTE)
Monthly]]/2</f>
        <v>2914.5</v>
      </c>
      <c r="D88" s="1345">
        <f>Table3133[[#This Row],[Half-Time 
(.50 FTE)
Monthly]]/2</f>
        <v>1457.25</v>
      </c>
      <c r="E88" s="1346">
        <f>Table3133[[#This Row],[Half-Time 
(.50 FTE)
Monthly]]*9</f>
        <v>26230.5</v>
      </c>
    </row>
    <row r="89" spans="1:5" ht="14.1" customHeight="1">
      <c r="A89" s="1343">
        <v>83</v>
      </c>
      <c r="B89" s="1347">
        <v>5891</v>
      </c>
      <c r="C89" s="1345">
        <f>Table3133[[#This Row],[Full-Time 
(1.0 FTE)
Monthly]]/2</f>
        <v>2945.5</v>
      </c>
      <c r="D89" s="1345">
        <f>Table3133[[#This Row],[Half-Time 
(.50 FTE)
Monthly]]/2</f>
        <v>1472.75</v>
      </c>
      <c r="E89" s="1346">
        <f>Table3133[[#This Row],[Half-Time 
(.50 FTE)
Monthly]]*9</f>
        <v>26509.5</v>
      </c>
    </row>
    <row r="90" spans="1:5" ht="14.1" customHeight="1">
      <c r="A90" s="1343">
        <v>84</v>
      </c>
      <c r="B90" s="1347">
        <v>5948</v>
      </c>
      <c r="C90" s="1345">
        <f>Table3133[[#This Row],[Full-Time 
(1.0 FTE)
Monthly]]/2</f>
        <v>2974</v>
      </c>
      <c r="D90" s="1345">
        <f>Table3133[[#This Row],[Half-Time 
(.50 FTE)
Monthly]]/2</f>
        <v>1487</v>
      </c>
      <c r="E90" s="1346">
        <f>Table3133[[#This Row],[Half-Time 
(.50 FTE)
Monthly]]*9</f>
        <v>26766</v>
      </c>
    </row>
    <row r="91" spans="1:5" ht="14.1" customHeight="1">
      <c r="A91" s="1343">
        <v>85</v>
      </c>
      <c r="B91" s="1347">
        <v>6007</v>
      </c>
      <c r="C91" s="1345">
        <f>Table3133[[#This Row],[Full-Time 
(1.0 FTE)
Monthly]]/2</f>
        <v>3003.5</v>
      </c>
      <c r="D91" s="1345">
        <f>Table3133[[#This Row],[Half-Time 
(.50 FTE)
Monthly]]/2</f>
        <v>1501.75</v>
      </c>
      <c r="E91" s="1346">
        <f>Table3133[[#This Row],[Half-Time 
(.50 FTE)
Monthly]]*9</f>
        <v>27031.5</v>
      </c>
    </row>
    <row r="92" spans="1:5" ht="14.1" customHeight="1">
      <c r="A92" s="1343">
        <v>86</v>
      </c>
      <c r="B92" s="1347">
        <v>6069</v>
      </c>
      <c r="C92" s="1345">
        <f>Table3133[[#This Row],[Full-Time 
(1.0 FTE)
Monthly]]/2</f>
        <v>3034.5</v>
      </c>
      <c r="D92" s="1345">
        <f>Table3133[[#This Row],[Half-Time 
(.50 FTE)
Monthly]]/2</f>
        <v>1517.25</v>
      </c>
      <c r="E92" s="1346">
        <f>Table3133[[#This Row],[Half-Time 
(.50 FTE)
Monthly]]*9</f>
        <v>27310.5</v>
      </c>
    </row>
    <row r="93" spans="1:5" ht="14.1" customHeight="1">
      <c r="A93" s="1343">
        <v>87</v>
      </c>
      <c r="B93" s="1347">
        <v>6127</v>
      </c>
      <c r="C93" s="1345">
        <f>Table3133[[#This Row],[Full-Time 
(1.0 FTE)
Monthly]]/2</f>
        <v>3063.5</v>
      </c>
      <c r="D93" s="1345">
        <f>Table3133[[#This Row],[Half-Time 
(.50 FTE)
Monthly]]/2</f>
        <v>1531.75</v>
      </c>
      <c r="E93" s="1346">
        <f>Table3133[[#This Row],[Half-Time 
(.50 FTE)
Monthly]]*9</f>
        <v>27571.5</v>
      </c>
    </row>
    <row r="94" spans="1:5" ht="14.1" customHeight="1">
      <c r="A94" s="1343">
        <v>88</v>
      </c>
      <c r="B94" s="1347">
        <v>6189</v>
      </c>
      <c r="C94" s="1345">
        <f>Table3133[[#This Row],[Full-Time 
(1.0 FTE)
Monthly]]/2</f>
        <v>3094.5</v>
      </c>
      <c r="D94" s="1345">
        <f>Table3133[[#This Row],[Half-Time 
(.50 FTE)
Monthly]]/2</f>
        <v>1547.25</v>
      </c>
      <c r="E94" s="1346">
        <f>Table3133[[#This Row],[Half-Time 
(.50 FTE)
Monthly]]*9</f>
        <v>27850.5</v>
      </c>
    </row>
    <row r="95" spans="1:5" ht="14.1" customHeight="1">
      <c r="A95" s="1343">
        <v>89</v>
      </c>
      <c r="B95" s="1347">
        <v>6248</v>
      </c>
      <c r="C95" s="1345">
        <f>Table3133[[#This Row],[Full-Time 
(1.0 FTE)
Monthly]]/2</f>
        <v>3124</v>
      </c>
      <c r="D95" s="1345">
        <f>Table3133[[#This Row],[Half-Time 
(.50 FTE)
Monthly]]/2</f>
        <v>1562</v>
      </c>
      <c r="E95" s="1346">
        <f>Table3133[[#This Row],[Half-Time 
(.50 FTE)
Monthly]]*9</f>
        <v>28116</v>
      </c>
    </row>
    <row r="96" spans="1:5" ht="14.1" customHeight="1">
      <c r="A96" s="1343">
        <v>90</v>
      </c>
      <c r="B96" s="1347">
        <v>6312</v>
      </c>
      <c r="C96" s="1345">
        <f>Table3133[[#This Row],[Full-Time 
(1.0 FTE)
Monthly]]/2</f>
        <v>3156</v>
      </c>
      <c r="D96" s="1345">
        <f>Table3133[[#This Row],[Half-Time 
(.50 FTE)
Monthly]]/2</f>
        <v>1578</v>
      </c>
      <c r="E96" s="1346">
        <f>Table3133[[#This Row],[Half-Time 
(.50 FTE)
Monthly]]*9</f>
        <v>28404</v>
      </c>
    </row>
    <row r="97" spans="1:5" ht="14.1" customHeight="1">
      <c r="A97" s="1343">
        <v>91</v>
      </c>
      <c r="B97" s="1347">
        <v>6376</v>
      </c>
      <c r="C97" s="1345">
        <f>Table3133[[#This Row],[Full-Time 
(1.0 FTE)
Monthly]]/2</f>
        <v>3188</v>
      </c>
      <c r="D97" s="1345">
        <f>Table3133[[#This Row],[Half-Time 
(.50 FTE)
Monthly]]/2</f>
        <v>1594</v>
      </c>
      <c r="E97" s="1346">
        <f>Table3133[[#This Row],[Half-Time 
(.50 FTE)
Monthly]]*9</f>
        <v>28692</v>
      </c>
    </row>
    <row r="98" spans="1:5" ht="14.1" customHeight="1">
      <c r="A98" s="1343">
        <v>92</v>
      </c>
      <c r="B98" s="1347">
        <v>6440</v>
      </c>
      <c r="C98" s="1345">
        <f>Table3133[[#This Row],[Full-Time 
(1.0 FTE)
Monthly]]/2</f>
        <v>3220</v>
      </c>
      <c r="D98" s="1345">
        <f>Table3133[[#This Row],[Half-Time 
(.50 FTE)
Monthly]]/2</f>
        <v>1610</v>
      </c>
      <c r="E98" s="1346">
        <f>Table3133[[#This Row],[Half-Time 
(.50 FTE)
Monthly]]*9</f>
        <v>28980</v>
      </c>
    </row>
    <row r="99" spans="1:5" ht="14.1" customHeight="1">
      <c r="A99" s="1343">
        <v>93</v>
      </c>
      <c r="B99" s="1347">
        <v>6505</v>
      </c>
      <c r="C99" s="1345">
        <f>Table3133[[#This Row],[Full-Time 
(1.0 FTE)
Monthly]]/2</f>
        <v>3252.5</v>
      </c>
      <c r="D99" s="1345">
        <f>Table3133[[#This Row],[Half-Time 
(.50 FTE)
Monthly]]/2</f>
        <v>1626.25</v>
      </c>
      <c r="E99" s="1346">
        <f>Table3133[[#This Row],[Half-Time 
(.50 FTE)
Monthly]]*9</f>
        <v>29272.5</v>
      </c>
    </row>
    <row r="100" spans="1:5" ht="14.1" customHeight="1">
      <c r="A100" s="1343">
        <v>94</v>
      </c>
      <c r="B100" s="1347">
        <v>6569</v>
      </c>
      <c r="C100" s="1345">
        <f>Table3133[[#This Row],[Full-Time 
(1.0 FTE)
Monthly]]/2</f>
        <v>3284.5</v>
      </c>
      <c r="D100" s="1345">
        <f>Table3133[[#This Row],[Half-Time 
(.50 FTE)
Monthly]]/2</f>
        <v>1642.25</v>
      </c>
      <c r="E100" s="1346">
        <f>Table3133[[#This Row],[Half-Time 
(.50 FTE)
Monthly]]*9</f>
        <v>29560.5</v>
      </c>
    </row>
    <row r="101" spans="1:5" ht="14.1" customHeight="1">
      <c r="A101" s="1343">
        <v>95</v>
      </c>
      <c r="B101" s="1347">
        <v>6635</v>
      </c>
      <c r="C101" s="1345">
        <f>Table3133[[#This Row],[Full-Time 
(1.0 FTE)
Monthly]]/2</f>
        <v>3317.5</v>
      </c>
      <c r="D101" s="1345">
        <f>Table3133[[#This Row],[Half-Time 
(.50 FTE)
Monthly]]/2</f>
        <v>1658.75</v>
      </c>
      <c r="E101" s="1346">
        <f>Table3133[[#This Row],[Half-Time 
(.50 FTE)
Monthly]]*9</f>
        <v>29857.5</v>
      </c>
    </row>
    <row r="102" spans="1:5" ht="14.1" customHeight="1">
      <c r="A102" s="1343">
        <v>96</v>
      </c>
      <c r="B102" s="1347">
        <v>6702</v>
      </c>
      <c r="C102" s="1345">
        <f>Table3133[[#This Row],[Full-Time 
(1.0 FTE)
Monthly]]/2</f>
        <v>3351</v>
      </c>
      <c r="D102" s="1345">
        <f>Table3133[[#This Row],[Half-Time 
(.50 FTE)
Monthly]]/2</f>
        <v>1675.5</v>
      </c>
      <c r="E102" s="1346">
        <f>Table3133[[#This Row],[Half-Time 
(.50 FTE)
Monthly]]*9</f>
        <v>30159</v>
      </c>
    </row>
    <row r="103" spans="1:5" ht="14.1" customHeight="1">
      <c r="A103" s="1343">
        <v>97</v>
      </c>
      <c r="B103" s="1347">
        <v>6767</v>
      </c>
      <c r="C103" s="1345">
        <f>Table3133[[#This Row],[Full-Time 
(1.0 FTE)
Monthly]]/2</f>
        <v>3383.5</v>
      </c>
      <c r="D103" s="1345">
        <f>Table3133[[#This Row],[Half-Time 
(.50 FTE)
Monthly]]/2</f>
        <v>1691.75</v>
      </c>
      <c r="E103" s="1346">
        <f>Table3133[[#This Row],[Half-Time 
(.50 FTE)
Monthly]]*9</f>
        <v>30451.5</v>
      </c>
    </row>
    <row r="104" spans="1:5" ht="14.1" customHeight="1">
      <c r="A104" s="1343">
        <v>98</v>
      </c>
      <c r="B104" s="1347">
        <v>6836</v>
      </c>
      <c r="C104" s="1345">
        <f>Table3133[[#This Row],[Full-Time 
(1.0 FTE)
Monthly]]/2</f>
        <v>3418</v>
      </c>
      <c r="D104" s="1345">
        <f>Table3133[[#This Row],[Half-Time 
(.50 FTE)
Monthly]]/2</f>
        <v>1709</v>
      </c>
      <c r="E104" s="1346">
        <f>Table3133[[#This Row],[Half-Time 
(.50 FTE)
Monthly]]*9</f>
        <v>30762</v>
      </c>
    </row>
    <row r="105" spans="1:5" ht="14.1" customHeight="1">
      <c r="A105" s="1343">
        <v>99</v>
      </c>
      <c r="B105" s="1347">
        <v>6902</v>
      </c>
      <c r="C105" s="1345">
        <f>Table3133[[#This Row],[Full-Time 
(1.0 FTE)
Monthly]]/2</f>
        <v>3451</v>
      </c>
      <c r="D105" s="1345">
        <f>Table3133[[#This Row],[Half-Time 
(.50 FTE)
Monthly]]/2</f>
        <v>1725.5</v>
      </c>
      <c r="E105" s="1346">
        <f>Table3133[[#This Row],[Half-Time 
(.50 FTE)
Monthly]]*9</f>
        <v>31059</v>
      </c>
    </row>
    <row r="106" spans="1:5" ht="14.1" customHeight="1">
      <c r="A106" s="1343">
        <v>100</v>
      </c>
      <c r="B106" s="1344">
        <v>6975</v>
      </c>
      <c r="C106" s="1345">
        <f>Table3133[[#This Row],[Full-Time 
(1.0 FTE)
Monthly]]/2</f>
        <v>3487.5</v>
      </c>
      <c r="D106" s="1345">
        <f>Table3133[[#This Row],[Half-Time 
(.50 FTE)
Monthly]]/2</f>
        <v>1743.75</v>
      </c>
      <c r="E106" s="1346">
        <f>Table3133[[#This Row],[Half-Time 
(.50 FTE)
Monthly]]*9</f>
        <v>31387.5</v>
      </c>
    </row>
    <row r="107" spans="1:5" ht="14.1" customHeight="1">
      <c r="A107" s="1343">
        <v>101</v>
      </c>
      <c r="B107" s="1342">
        <v>7045</v>
      </c>
      <c r="C107" s="1345">
        <f>Table3133[[#This Row],[Full-Time 
(1.0 FTE)
Monthly]]/2</f>
        <v>3522.5</v>
      </c>
      <c r="D107" s="1345">
        <f>Table3133[[#This Row],[Half-Time 
(.50 FTE)
Monthly]]/2</f>
        <v>1761.25</v>
      </c>
      <c r="E107" s="1346">
        <f>Table3133[[#This Row],[Half-Time 
(.50 FTE)
Monthly]]*9</f>
        <v>31702.5</v>
      </c>
    </row>
    <row r="108" spans="1:5" ht="14.1" customHeight="1">
      <c r="A108" s="1343">
        <v>102</v>
      </c>
      <c r="B108" s="1344">
        <v>7110</v>
      </c>
      <c r="C108" s="1345">
        <f>Table3133[[#This Row],[Full-Time 
(1.0 FTE)
Monthly]]/2</f>
        <v>3555</v>
      </c>
      <c r="D108" s="1345">
        <f>Table3133[[#This Row],[Half-Time 
(.50 FTE)
Monthly]]/2</f>
        <v>1777.5</v>
      </c>
      <c r="E108" s="1346">
        <f>Table3133[[#This Row],[Half-Time 
(.50 FTE)
Monthly]]*9</f>
        <v>31995</v>
      </c>
    </row>
    <row r="109" spans="1:5" ht="14.1" customHeight="1">
      <c r="A109" s="1352">
        <v>103</v>
      </c>
      <c r="B109" s="1342">
        <v>7185</v>
      </c>
      <c r="C109" s="1353">
        <f>Table3133[[#This Row],[Full-Time 
(1.0 FTE)
Monthly]]/2</f>
        <v>3592.5</v>
      </c>
      <c r="D109" s="1353">
        <f>Table3133[[#This Row],[Half-Time 
(.50 FTE)
Monthly]]/2</f>
        <v>1796.25</v>
      </c>
      <c r="E109" s="1354">
        <f>Table3133[[#This Row],[Half-Time 
(.50 FTE)
Monthly]]*9</f>
        <v>32332.5</v>
      </c>
    </row>
    <row r="110" spans="1:5" ht="14.1" customHeight="1">
      <c r="A110" s="1343">
        <v>104</v>
      </c>
      <c r="B110" s="1344">
        <v>7254</v>
      </c>
      <c r="C110" s="1345">
        <f>Table3133[[#This Row],[Full-Time 
(1.0 FTE)
Monthly]]/2</f>
        <v>3627</v>
      </c>
      <c r="D110" s="1345">
        <f>Table3133[[#This Row],[Half-Time 
(.50 FTE)
Monthly]]/2</f>
        <v>1813.5</v>
      </c>
      <c r="E110" s="1346">
        <f>Table3133[[#This Row],[Half-Time 
(.50 FTE)
Monthly]]*9</f>
        <v>32643</v>
      </c>
    </row>
    <row r="111" spans="1:5" ht="14.1" customHeight="1">
      <c r="A111" s="1352">
        <v>105</v>
      </c>
      <c r="B111" s="1342">
        <v>7329</v>
      </c>
      <c r="C111" s="1353">
        <f>Table3133[[#This Row],[Full-Time 
(1.0 FTE)
Monthly]]/2</f>
        <v>3664.5</v>
      </c>
      <c r="D111" s="1353">
        <f>Table3133[[#This Row],[Half-Time 
(.50 FTE)
Monthly]]/2</f>
        <v>1832.25</v>
      </c>
      <c r="E111" s="1354">
        <f>Table3133[[#This Row],[Half-Time 
(.50 FTE)
Monthly]]*9</f>
        <v>32980.5</v>
      </c>
    </row>
    <row r="112" spans="1:5" ht="14.1" customHeight="1">
      <c r="A112" s="1343">
        <v>106</v>
      </c>
      <c r="B112" s="1344">
        <v>7403</v>
      </c>
      <c r="C112" s="1345">
        <f>Table3133[[#This Row],[Full-Time 
(1.0 FTE)
Monthly]]/2</f>
        <v>3701.5</v>
      </c>
      <c r="D112" s="1345">
        <f>Table3133[[#This Row],[Half-Time 
(.50 FTE)
Monthly]]/2</f>
        <v>1850.75</v>
      </c>
      <c r="E112" s="1346">
        <f>Table3133[[#This Row],[Half-Time 
(.50 FTE)
Monthly]]*9</f>
        <v>33313.5</v>
      </c>
    </row>
    <row r="113" spans="1:5" ht="14.1" customHeight="1">
      <c r="A113" s="1343">
        <v>107</v>
      </c>
      <c r="B113" s="1342">
        <v>7477</v>
      </c>
      <c r="C113" s="1345">
        <f>Table3133[[#This Row],[Full-Time 
(1.0 FTE)
Monthly]]/2</f>
        <v>3738.5</v>
      </c>
      <c r="D113" s="1345">
        <f>Table3133[[#This Row],[Half-Time 
(.50 FTE)
Monthly]]/2</f>
        <v>1869.25</v>
      </c>
      <c r="E113" s="1346">
        <f>Table3133[[#This Row],[Half-Time 
(.50 FTE)
Monthly]]*9</f>
        <v>33646.5</v>
      </c>
    </row>
    <row r="114" spans="1:5" ht="15.75">
      <c r="A114" s="1343">
        <v>108</v>
      </c>
      <c r="B114" s="1344">
        <v>7551</v>
      </c>
      <c r="C114" s="1345">
        <f>Table3133[[#This Row],[Full-Time 
(1.0 FTE)
Monthly]]/2</f>
        <v>3775.5</v>
      </c>
      <c r="D114" s="1345">
        <f>Table3133[[#This Row],[Half-Time 
(.50 FTE)
Monthly]]/2</f>
        <v>1887.75</v>
      </c>
      <c r="E114" s="1346">
        <f>Table3133[[#This Row],[Half-Time 
(.50 FTE)
Monthly]]*9</f>
        <v>33979.5</v>
      </c>
    </row>
    <row r="115" spans="1:5" ht="15.75">
      <c r="A115" s="1343">
        <v>109</v>
      </c>
      <c r="B115" s="1342">
        <v>7628</v>
      </c>
      <c r="C115" s="1345">
        <f>Table3133[[#This Row],[Full-Time 
(1.0 FTE)
Monthly]]/2</f>
        <v>3814</v>
      </c>
      <c r="D115" s="1345">
        <f>Table3133[[#This Row],[Half-Time 
(.50 FTE)
Monthly]]/2</f>
        <v>1907</v>
      </c>
      <c r="E115" s="1346">
        <f>Table3133[[#This Row],[Half-Time 
(.50 FTE)
Monthly]]*9</f>
        <v>34326</v>
      </c>
    </row>
    <row r="116" spans="1:5" ht="15.75">
      <c r="A116" s="1343">
        <v>110</v>
      </c>
      <c r="B116" s="1344">
        <v>7703</v>
      </c>
      <c r="C116" s="1345">
        <f>Table3133[[#This Row],[Full-Time 
(1.0 FTE)
Monthly]]/2</f>
        <v>3851.5</v>
      </c>
      <c r="D116" s="1345">
        <f>Table3133[[#This Row],[Half-Time 
(.50 FTE)
Monthly]]/2</f>
        <v>1925.75</v>
      </c>
      <c r="E116" s="1346">
        <f>Table3133[[#This Row],[Half-Time 
(.50 FTE)
Monthly]]*9</f>
        <v>34663.5</v>
      </c>
    </row>
    <row r="117" spans="1:5" ht="15.75">
      <c r="A117" s="1343">
        <v>111</v>
      </c>
      <c r="B117" s="1342">
        <v>7780</v>
      </c>
      <c r="C117" s="1345">
        <f>Table3133[[#This Row],[Full-Time 
(1.0 FTE)
Monthly]]/2</f>
        <v>3890</v>
      </c>
      <c r="D117" s="1345">
        <f>Table3133[[#This Row],[Half-Time 
(.50 FTE)
Monthly]]/2</f>
        <v>1945</v>
      </c>
      <c r="E117" s="1346">
        <f>Table3133[[#This Row],[Half-Time 
(.50 FTE)
Monthly]]*9</f>
        <v>35010</v>
      </c>
    </row>
    <row r="118" spans="1:5" ht="15.75">
      <c r="A118" s="1343">
        <v>112</v>
      </c>
      <c r="B118" s="1344">
        <v>7861</v>
      </c>
      <c r="C118" s="1345">
        <f>Table3133[[#This Row],[Full-Time 
(1.0 FTE)
Monthly]]/2</f>
        <v>3930.5</v>
      </c>
      <c r="D118" s="1345">
        <f>Table3133[[#This Row],[Half-Time 
(.50 FTE)
Monthly]]/2</f>
        <v>1965.25</v>
      </c>
      <c r="E118" s="1346">
        <f>Table3133[[#This Row],[Half-Time 
(.50 FTE)
Monthly]]*9</f>
        <v>35374.5</v>
      </c>
    </row>
    <row r="119" spans="1:5" ht="15" customHeight="1">
      <c r="A119" s="1343">
        <v>113</v>
      </c>
      <c r="B119" s="1342">
        <v>7938</v>
      </c>
      <c r="C119" s="1345">
        <f>Table3133[[#This Row],[Full-Time 
(1.0 FTE)
Monthly]]/2</f>
        <v>3969</v>
      </c>
      <c r="D119" s="1345">
        <f>Table3133[[#This Row],[Half-Time 
(.50 FTE)
Monthly]]/2</f>
        <v>1984.5</v>
      </c>
      <c r="E119" s="1346">
        <f>Table3133[[#This Row],[Half-Time 
(.50 FTE)
Monthly]]*9</f>
        <v>35721</v>
      </c>
    </row>
    <row r="120" spans="1:5" ht="15.75">
      <c r="A120" s="1343">
        <v>114</v>
      </c>
      <c r="B120" s="1344">
        <v>8018</v>
      </c>
      <c r="C120" s="1345">
        <f>Table3133[[#This Row],[Full-Time 
(1.0 FTE)
Monthly]]/2</f>
        <v>4009</v>
      </c>
      <c r="D120" s="1345">
        <f>Table3133[[#This Row],[Half-Time 
(.50 FTE)
Monthly]]/2</f>
        <v>2004.5</v>
      </c>
      <c r="E120" s="1346">
        <f>Table3133[[#This Row],[Half-Time 
(.50 FTE)
Monthly]]*9</f>
        <v>36081</v>
      </c>
    </row>
    <row r="121" spans="1:5" ht="15.75">
      <c r="A121" s="1343">
        <v>115</v>
      </c>
      <c r="B121" s="1342">
        <v>8099</v>
      </c>
      <c r="C121" s="1345">
        <f>Table3133[[#This Row],[Full-Time 
(1.0 FTE)
Monthly]]/2</f>
        <v>4049.5</v>
      </c>
      <c r="D121" s="1345">
        <f>Table3133[[#This Row],[Half-Time 
(.50 FTE)
Monthly]]/2</f>
        <v>2024.75</v>
      </c>
      <c r="E121" s="1346">
        <f>Table3133[[#This Row],[Half-Time 
(.50 FTE)
Monthly]]*9</f>
        <v>36445.5</v>
      </c>
    </row>
    <row r="122" spans="1:5" ht="15.75">
      <c r="A122" s="1343">
        <v>116</v>
      </c>
      <c r="B122" s="1344">
        <v>8177</v>
      </c>
      <c r="C122" s="1345">
        <f>Table3133[[#This Row],[Full-Time 
(1.0 FTE)
Monthly]]/2</f>
        <v>4088.5</v>
      </c>
      <c r="D122" s="1345">
        <f>Table3133[[#This Row],[Half-Time 
(.50 FTE)
Monthly]]/2</f>
        <v>2044.25</v>
      </c>
      <c r="E122" s="1346">
        <f>Table3133[[#This Row],[Half-Time 
(.50 FTE)
Monthly]]*9</f>
        <v>36796.5</v>
      </c>
    </row>
    <row r="123" spans="1:5" ht="15" customHeight="1">
      <c r="A123" s="1343">
        <v>117</v>
      </c>
      <c r="B123" s="1342">
        <v>8260</v>
      </c>
      <c r="C123" s="1345">
        <f>Table3133[[#This Row],[Full-Time 
(1.0 FTE)
Monthly]]/2</f>
        <v>4130</v>
      </c>
      <c r="D123" s="1345">
        <f>Table3133[[#This Row],[Half-Time 
(.50 FTE)
Monthly]]/2</f>
        <v>2065</v>
      </c>
      <c r="E123" s="1346">
        <f>Table3133[[#This Row],[Half-Time 
(.50 FTE)
Monthly]]*9</f>
        <v>37170</v>
      </c>
    </row>
    <row r="124" spans="1:5" ht="15" customHeight="1">
      <c r="A124" s="1355">
        <v>118</v>
      </c>
      <c r="B124" s="1356">
        <v>8341</v>
      </c>
      <c r="C124" s="1357">
        <f>Table3133[[#This Row],[Full-Time 
(1.0 FTE)
Monthly]]/2</f>
        <v>4170.5</v>
      </c>
      <c r="D124" s="1358">
        <f>Table3133[[#This Row],[Half-Time 
(.50 FTE)
Monthly]]/2</f>
        <v>2085.25</v>
      </c>
      <c r="E124" s="1359">
        <f>Table3133[[#This Row],[Half-Time 
(.50 FTE)
Monthly]]*9</f>
        <v>37534.5</v>
      </c>
    </row>
    <row r="125" spans="1:5" ht="15" customHeight="1"/>
    <row r="126" spans="1:5" ht="15" customHeight="1"/>
    <row r="127" spans="1:5" ht="15" customHeight="1"/>
    <row r="128" spans="1:5" ht="15" customHeight="1"/>
    <row r="129" ht="15" customHeight="1"/>
    <row r="130" ht="15" customHeight="1"/>
  </sheetData>
  <mergeCells count="3">
    <mergeCell ref="A3:E3"/>
    <mergeCell ref="A1:E1"/>
    <mergeCell ref="A2:E2"/>
  </mergeCells>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00000"/>
    <pageSetUpPr fitToPage="1"/>
  </sheetPr>
  <dimension ref="A1:CU126"/>
  <sheetViews>
    <sheetView topLeftCell="A7" zoomScaleNormal="100" workbookViewId="0">
      <selection activeCell="A7" sqref="A7"/>
    </sheetView>
  </sheetViews>
  <sheetFormatPr defaultRowHeight="14.1" customHeight="1"/>
  <cols>
    <col min="1" max="1" width="12.42578125" style="150" customWidth="1"/>
    <col min="2" max="2" width="9.140625" style="150"/>
    <col min="3" max="3" width="10.42578125" style="150" customWidth="1"/>
    <col min="4" max="4" width="10.140625" style="150" customWidth="1"/>
    <col min="5" max="5" width="9.140625" style="150" customWidth="1"/>
    <col min="6" max="6" width="10.42578125" style="150" customWidth="1"/>
    <col min="7" max="7" width="9.140625" style="150"/>
    <col min="8" max="8" width="10.5703125" style="150" customWidth="1"/>
    <col min="9" max="9" width="10" style="150" customWidth="1"/>
    <col min="10" max="10" width="10.28515625" style="150" customWidth="1"/>
    <col min="11" max="15" width="9.140625" style="150"/>
    <col min="16" max="16" width="10.7109375" style="150" customWidth="1"/>
    <col min="17" max="17" width="9.140625" style="150"/>
    <col min="18" max="18" width="9.7109375" style="150" customWidth="1"/>
    <col min="19" max="23" width="9.140625" style="150" hidden="1" customWidth="1"/>
    <col min="24" max="76" width="10.42578125" style="150" hidden="1" customWidth="1"/>
    <col min="77" max="77" width="9.140625" style="150" hidden="1" customWidth="1"/>
    <col min="78" max="86" width="9.140625" style="150" customWidth="1"/>
    <col min="87" max="16384" width="9.140625" style="150"/>
  </cols>
  <sheetData>
    <row r="1" spans="1:76" ht="14.1" hidden="1" customHeight="1">
      <c r="T1" s="151" t="s">
        <v>256</v>
      </c>
      <c r="U1" s="1109">
        <v>4685</v>
      </c>
      <c r="V1" s="1038">
        <f t="shared" ref="V1:W8" si="0">ROUND(U1*1.04,0)</f>
        <v>4872</v>
      </c>
      <c r="W1" s="1038">
        <f t="shared" si="0"/>
        <v>5067</v>
      </c>
    </row>
    <row r="2" spans="1:76" ht="14.1" hidden="1" customHeight="1">
      <c r="T2" s="150" t="s">
        <v>340</v>
      </c>
      <c r="U2" s="1110">
        <v>4280</v>
      </c>
      <c r="V2" s="1038">
        <f t="shared" si="0"/>
        <v>4451</v>
      </c>
      <c r="W2" s="1038">
        <f t="shared" si="0"/>
        <v>4629</v>
      </c>
    </row>
    <row r="3" spans="1:76" ht="14.1" hidden="1" customHeight="1">
      <c r="T3" s="151" t="s">
        <v>325</v>
      </c>
      <c r="U3" s="1110">
        <v>4199</v>
      </c>
      <c r="V3" s="1038">
        <f t="shared" si="0"/>
        <v>4367</v>
      </c>
      <c r="W3" s="1038">
        <f t="shared" si="0"/>
        <v>4542</v>
      </c>
    </row>
    <row r="4" spans="1:76" ht="14.1" hidden="1" customHeight="1">
      <c r="T4" s="151" t="s">
        <v>99</v>
      </c>
      <c r="U4" s="1110">
        <v>4118</v>
      </c>
      <c r="V4" s="1038">
        <f t="shared" si="0"/>
        <v>4283</v>
      </c>
      <c r="W4" s="1038">
        <f t="shared" si="0"/>
        <v>4454</v>
      </c>
    </row>
    <row r="5" spans="1:76" ht="13.5" hidden="1" customHeight="1">
      <c r="T5" s="151" t="s">
        <v>100</v>
      </c>
      <c r="U5" s="1110">
        <v>3913</v>
      </c>
      <c r="V5" s="1038">
        <f t="shared" si="0"/>
        <v>4070</v>
      </c>
      <c r="W5" s="1038">
        <f t="shared" si="0"/>
        <v>4233</v>
      </c>
    </row>
    <row r="6" spans="1:76" ht="13.5" hidden="1" customHeight="1" thickBot="1">
      <c r="T6" s="151" t="s">
        <v>50</v>
      </c>
      <c r="U6" s="1110">
        <v>3544</v>
      </c>
      <c r="V6" s="1038">
        <f t="shared" si="0"/>
        <v>3686</v>
      </c>
      <c r="W6" s="1038">
        <f t="shared" si="0"/>
        <v>3833</v>
      </c>
    </row>
    <row r="7" spans="1:76" s="151" customFormat="1" ht="24" customHeight="1" thickBot="1">
      <c r="A7" s="153" t="s">
        <v>334</v>
      </c>
      <c r="B7" s="154"/>
      <c r="C7" s="154"/>
      <c r="D7" s="154"/>
      <c r="E7" s="154"/>
      <c r="F7" s="154"/>
      <c r="G7" s="154"/>
      <c r="H7" s="154"/>
      <c r="I7" s="154"/>
      <c r="J7" s="154"/>
      <c r="K7" s="154"/>
      <c r="L7" s="154"/>
      <c r="M7" s="154"/>
      <c r="N7" s="154"/>
      <c r="O7" s="154"/>
      <c r="P7" s="154"/>
      <c r="Q7" s="154"/>
      <c r="R7" s="155"/>
      <c r="T7" s="151" t="s">
        <v>52</v>
      </c>
      <c r="U7" s="1110">
        <v>3340</v>
      </c>
      <c r="V7" s="1038">
        <f t="shared" si="0"/>
        <v>3474</v>
      </c>
      <c r="W7" s="1038">
        <f t="shared" si="0"/>
        <v>3613</v>
      </c>
    </row>
    <row r="8" spans="1:76" s="151" customFormat="1" ht="24" customHeight="1" thickTop="1" thickBot="1">
      <c r="A8" s="156" t="s">
        <v>333</v>
      </c>
      <c r="B8" s="157"/>
      <c r="C8" s="158"/>
      <c r="D8" s="158"/>
      <c r="E8" s="157"/>
      <c r="F8" s="157"/>
      <c r="G8" s="157"/>
      <c r="H8" s="157"/>
      <c r="I8" s="157"/>
      <c r="J8" s="157"/>
      <c r="K8" s="157"/>
      <c r="L8" s="157"/>
      <c r="M8" s="159"/>
      <c r="N8" s="160"/>
      <c r="O8" s="157"/>
      <c r="P8" s="157"/>
      <c r="Q8" s="161"/>
      <c r="R8" s="162"/>
      <c r="T8" s="151" t="s">
        <v>629</v>
      </c>
      <c r="U8" s="1111">
        <v>4367</v>
      </c>
      <c r="V8" s="1038">
        <f t="shared" si="0"/>
        <v>4542</v>
      </c>
      <c r="W8" s="1038">
        <f t="shared" si="0"/>
        <v>4724</v>
      </c>
    </row>
    <row r="9" spans="1:76" s="151" customFormat="1" ht="14.1" customHeight="1">
      <c r="A9" s="163"/>
    </row>
    <row r="10" spans="1:76" s="151" customFormat="1" ht="14.1" customHeight="1">
      <c r="A10" s="149" t="s">
        <v>326</v>
      </c>
      <c r="B10" s="164"/>
      <c r="C10" s="165"/>
      <c r="D10" s="165"/>
      <c r="E10" s="165"/>
      <c r="F10" s="165"/>
      <c r="G10" s="165"/>
      <c r="H10" s="165"/>
      <c r="I10" s="165"/>
      <c r="J10" s="165"/>
      <c r="K10" s="165"/>
      <c r="L10" s="165"/>
      <c r="M10" s="165"/>
      <c r="N10" s="165"/>
      <c r="O10" s="165"/>
      <c r="P10" s="165"/>
      <c r="Q10" s="165"/>
      <c r="R10" s="165"/>
    </row>
    <row r="11" spans="1:76" s="151" customFormat="1" ht="14.1" customHeight="1">
      <c r="A11" s="111"/>
      <c r="B11" s="166" t="s">
        <v>54</v>
      </c>
      <c r="C11" s="165"/>
      <c r="D11" s="165"/>
      <c r="E11" s="165"/>
      <c r="F11" s="165"/>
      <c r="G11" s="165"/>
      <c r="H11" s="165"/>
      <c r="I11" s="165"/>
      <c r="J11" s="165"/>
      <c r="K11" s="165"/>
      <c r="L11" s="165"/>
      <c r="M11" s="165"/>
      <c r="N11" s="165"/>
      <c r="O11" s="165"/>
      <c r="P11" s="165"/>
      <c r="Q11" s="165"/>
      <c r="R11" s="165"/>
      <c r="V11" s="167" t="s">
        <v>53</v>
      </c>
      <c r="W11" s="168">
        <v>0.5</v>
      </c>
      <c r="X11" s="169">
        <f t="shared" ref="X11:AM11" si="1">+(D13-C13)/C13</f>
        <v>1.672002845962291E-3</v>
      </c>
      <c r="Y11" s="169">
        <f t="shared" si="1"/>
        <v>1.6692119188834037E-3</v>
      </c>
      <c r="Z11" s="169">
        <f t="shared" si="1"/>
        <v>1.6309743298822863E-3</v>
      </c>
      <c r="AA11" s="169">
        <f t="shared" si="1"/>
        <v>1.663716814159292E-3</v>
      </c>
      <c r="AB11" s="169">
        <f t="shared" si="1"/>
        <v>3.3219069159274835E-3</v>
      </c>
      <c r="AC11" s="169">
        <f t="shared" si="1"/>
        <v>3.2756859568173011E-3</v>
      </c>
      <c r="AD11" s="169">
        <f t="shared" si="1"/>
        <v>3.3000983008004492E-3</v>
      </c>
      <c r="AE11" s="169">
        <f t="shared" si="1"/>
        <v>3.2542515221499054E-3</v>
      </c>
      <c r="AF11" s="169">
        <f t="shared" si="1"/>
        <v>3.278574169020962E-3</v>
      </c>
      <c r="AG11" s="169">
        <f t="shared" si="1"/>
        <v>3.2330957761168085E-3</v>
      </c>
      <c r="AH11" s="169">
        <f t="shared" si="1"/>
        <v>3.2573289902280132E-3</v>
      </c>
      <c r="AI11" s="169">
        <f t="shared" si="1"/>
        <v>3.2122133185962971E-3</v>
      </c>
      <c r="AJ11" s="169">
        <f t="shared" si="1"/>
        <v>1.6181786882423824E-3</v>
      </c>
      <c r="AK11" s="169">
        <f t="shared" si="1"/>
        <v>1.6155644163343874E-3</v>
      </c>
      <c r="AL11" s="169">
        <f t="shared" si="1"/>
        <v>1.5786403102371392E-3</v>
      </c>
      <c r="AM11" s="169">
        <f t="shared" si="1"/>
        <v>-1</v>
      </c>
      <c r="AN11" s="170" t="s">
        <v>53</v>
      </c>
      <c r="AO11" s="171">
        <f>+W11</f>
        <v>0.5</v>
      </c>
      <c r="AP11" s="169">
        <f t="shared" ref="AP11:BE11" si="2">+AP34+AP13</f>
        <v>3</v>
      </c>
      <c r="AQ11" s="169">
        <f t="shared" si="2"/>
        <v>3</v>
      </c>
      <c r="AR11" s="169">
        <f t="shared" si="2"/>
        <v>3</v>
      </c>
      <c r="AS11" s="169">
        <f t="shared" si="2"/>
        <v>3</v>
      </c>
      <c r="AT11" s="169">
        <f t="shared" si="2"/>
        <v>3</v>
      </c>
      <c r="AU11" s="169">
        <f t="shared" si="2"/>
        <v>3</v>
      </c>
      <c r="AV11" s="169">
        <f t="shared" si="2"/>
        <v>3</v>
      </c>
      <c r="AW11" s="169">
        <f t="shared" si="2"/>
        <v>3</v>
      </c>
      <c r="AX11" s="169">
        <f t="shared" si="2"/>
        <v>3</v>
      </c>
      <c r="AY11" s="169">
        <f t="shared" si="2"/>
        <v>3</v>
      </c>
      <c r="AZ11" s="169">
        <f t="shared" si="2"/>
        <v>3</v>
      </c>
      <c r="BA11" s="169">
        <f t="shared" si="2"/>
        <v>3</v>
      </c>
      <c r="BB11" s="169">
        <f t="shared" si="2"/>
        <v>3</v>
      </c>
      <c r="BC11" s="169">
        <f t="shared" si="2"/>
        <v>3</v>
      </c>
      <c r="BD11" s="169">
        <f t="shared" si="2"/>
        <v>3</v>
      </c>
      <c r="BE11" s="169">
        <f t="shared" si="2"/>
        <v>3</v>
      </c>
      <c r="BG11" s="170" t="s">
        <v>53</v>
      </c>
      <c r="BH11" s="171">
        <v>0.5</v>
      </c>
      <c r="BI11" s="169"/>
      <c r="BJ11" s="169"/>
      <c r="BK11" s="169"/>
      <c r="BL11" s="169"/>
      <c r="BM11" s="169"/>
      <c r="BN11" s="169"/>
      <c r="BO11" s="169"/>
      <c r="BP11" s="169"/>
      <c r="BQ11" s="169"/>
      <c r="BR11" s="169"/>
      <c r="BS11" s="169"/>
      <c r="BT11" s="169"/>
      <c r="BU11" s="169"/>
      <c r="BV11" s="169"/>
      <c r="BW11" s="169"/>
      <c r="BX11" s="169"/>
    </row>
    <row r="12" spans="1:76" s="151" customFormat="1" ht="14.1" customHeight="1">
      <c r="A12" s="172"/>
      <c r="B12" s="173" t="s">
        <v>58</v>
      </c>
      <c r="C12" s="815">
        <v>44012</v>
      </c>
      <c r="D12" s="815">
        <v>44027</v>
      </c>
      <c r="E12" s="815">
        <v>44043</v>
      </c>
      <c r="F12" s="815">
        <v>44058</v>
      </c>
      <c r="G12" s="815">
        <v>44074</v>
      </c>
      <c r="H12" s="815">
        <v>44104</v>
      </c>
      <c r="I12" s="815">
        <v>44135</v>
      </c>
      <c r="J12" s="815">
        <v>44165</v>
      </c>
      <c r="K12" s="815">
        <v>44196</v>
      </c>
      <c r="L12" s="815">
        <v>44227</v>
      </c>
      <c r="M12" s="815">
        <v>44255</v>
      </c>
      <c r="N12" s="815">
        <v>44286</v>
      </c>
      <c r="O12" s="815">
        <v>44316</v>
      </c>
      <c r="P12" s="815">
        <v>44331</v>
      </c>
      <c r="Q12" s="815">
        <v>44347</v>
      </c>
      <c r="R12" s="815">
        <v>44362</v>
      </c>
      <c r="V12" s="175" t="s">
        <v>55</v>
      </c>
      <c r="W12" s="176"/>
      <c r="X12" s="177">
        <f t="shared" ref="X12:AM12" si="3">+C12</f>
        <v>44012</v>
      </c>
      <c r="Y12" s="177">
        <f t="shared" si="3"/>
        <v>44027</v>
      </c>
      <c r="Z12" s="177">
        <f t="shared" si="3"/>
        <v>44043</v>
      </c>
      <c r="AA12" s="177">
        <f t="shared" si="3"/>
        <v>44058</v>
      </c>
      <c r="AB12" s="177">
        <f t="shared" si="3"/>
        <v>44074</v>
      </c>
      <c r="AC12" s="177">
        <f t="shared" si="3"/>
        <v>44104</v>
      </c>
      <c r="AD12" s="177">
        <f t="shared" si="3"/>
        <v>44135</v>
      </c>
      <c r="AE12" s="177">
        <f t="shared" si="3"/>
        <v>44165</v>
      </c>
      <c r="AF12" s="177">
        <f t="shared" si="3"/>
        <v>44196</v>
      </c>
      <c r="AG12" s="177">
        <f t="shared" si="3"/>
        <v>44227</v>
      </c>
      <c r="AH12" s="177">
        <f t="shared" si="3"/>
        <v>44255</v>
      </c>
      <c r="AI12" s="177">
        <f t="shared" si="3"/>
        <v>44286</v>
      </c>
      <c r="AJ12" s="177">
        <f t="shared" si="3"/>
        <v>44316</v>
      </c>
      <c r="AK12" s="177">
        <f t="shared" si="3"/>
        <v>44331</v>
      </c>
      <c r="AL12" s="177">
        <f t="shared" si="3"/>
        <v>44347</v>
      </c>
      <c r="AM12" s="177">
        <f t="shared" si="3"/>
        <v>44362</v>
      </c>
      <c r="AN12" s="178" t="s">
        <v>56</v>
      </c>
      <c r="AO12" s="176"/>
      <c r="AP12" s="177">
        <f t="shared" ref="AP12:BE12" si="4">+X12</f>
        <v>44012</v>
      </c>
      <c r="AQ12" s="177">
        <f t="shared" si="4"/>
        <v>44027</v>
      </c>
      <c r="AR12" s="177">
        <f t="shared" si="4"/>
        <v>44043</v>
      </c>
      <c r="AS12" s="177">
        <f t="shared" si="4"/>
        <v>44058</v>
      </c>
      <c r="AT12" s="177">
        <f t="shared" si="4"/>
        <v>44074</v>
      </c>
      <c r="AU12" s="177">
        <f t="shared" si="4"/>
        <v>44104</v>
      </c>
      <c r="AV12" s="177">
        <f t="shared" si="4"/>
        <v>44135</v>
      </c>
      <c r="AW12" s="177">
        <f t="shared" si="4"/>
        <v>44165</v>
      </c>
      <c r="AX12" s="177">
        <f t="shared" si="4"/>
        <v>44196</v>
      </c>
      <c r="AY12" s="177">
        <f t="shared" si="4"/>
        <v>44227</v>
      </c>
      <c r="AZ12" s="177">
        <f t="shared" si="4"/>
        <v>44255</v>
      </c>
      <c r="BA12" s="177">
        <f t="shared" si="4"/>
        <v>44286</v>
      </c>
      <c r="BB12" s="177">
        <f t="shared" si="4"/>
        <v>44316</v>
      </c>
      <c r="BC12" s="177">
        <f t="shared" si="4"/>
        <v>44331</v>
      </c>
      <c r="BD12" s="177">
        <f t="shared" si="4"/>
        <v>44347</v>
      </c>
      <c r="BE12" s="177">
        <f t="shared" si="4"/>
        <v>44362</v>
      </c>
      <c r="BG12" s="175" t="s">
        <v>57</v>
      </c>
      <c r="BH12" s="179"/>
      <c r="BI12" s="177"/>
      <c r="BJ12" s="177"/>
      <c r="BK12" s="177"/>
      <c r="BL12" s="177"/>
      <c r="BM12" s="177"/>
      <c r="BN12" s="177"/>
      <c r="BO12" s="177"/>
      <c r="BP12" s="177"/>
      <c r="BQ12" s="177"/>
      <c r="BR12" s="177"/>
      <c r="BS12" s="177"/>
      <c r="BT12" s="177"/>
      <c r="BU12" s="177"/>
      <c r="BV12" s="177"/>
      <c r="BW12" s="177"/>
      <c r="BX12" s="177"/>
    </row>
    <row r="13" spans="1:76" s="151" customFormat="1" ht="14.1" customHeight="1">
      <c r="A13" s="163" t="s">
        <v>59</v>
      </c>
      <c r="B13" s="151">
        <v>12</v>
      </c>
      <c r="C13" s="151">
        <f t="shared" ref="C13:R13" si="5">ROUND((($U$1*X$13)+($V$1*X$34)+($U$1*AP$13)+($V$1*AP$34)+($W$1*(3-(AP$13+AP$34)))+($W$1*(9-(X$13+X$34))))*$AO$11,0)</f>
        <v>28110</v>
      </c>
      <c r="D13" s="151">
        <f t="shared" si="5"/>
        <v>28157</v>
      </c>
      <c r="E13" s="151">
        <f t="shared" si="5"/>
        <v>28204</v>
      </c>
      <c r="F13" s="151">
        <f t="shared" si="5"/>
        <v>28250</v>
      </c>
      <c r="G13" s="151">
        <f t="shared" si="5"/>
        <v>28297</v>
      </c>
      <c r="H13" s="151">
        <f t="shared" si="5"/>
        <v>28391</v>
      </c>
      <c r="I13" s="151">
        <f t="shared" si="5"/>
        <v>28484</v>
      </c>
      <c r="J13" s="151">
        <f t="shared" si="5"/>
        <v>28578</v>
      </c>
      <c r="K13" s="151">
        <f t="shared" si="5"/>
        <v>28671</v>
      </c>
      <c r="L13" s="151">
        <f t="shared" si="5"/>
        <v>28765</v>
      </c>
      <c r="M13" s="151">
        <f t="shared" si="5"/>
        <v>28858</v>
      </c>
      <c r="N13" s="151">
        <f t="shared" si="5"/>
        <v>28952</v>
      </c>
      <c r="O13" s="151">
        <f t="shared" si="5"/>
        <v>29045</v>
      </c>
      <c r="P13" s="151">
        <f t="shared" si="5"/>
        <v>29092</v>
      </c>
      <c r="Q13" s="151">
        <f t="shared" si="5"/>
        <v>29139</v>
      </c>
      <c r="R13" s="151">
        <f t="shared" si="5"/>
        <v>29185</v>
      </c>
      <c r="V13" s="151" t="s">
        <v>60</v>
      </c>
      <c r="W13" s="151" t="s">
        <v>61</v>
      </c>
      <c r="X13" s="151">
        <v>9</v>
      </c>
      <c r="Y13" s="151">
        <v>9</v>
      </c>
      <c r="Z13" s="151">
        <v>9</v>
      </c>
      <c r="AA13" s="151">
        <v>9</v>
      </c>
      <c r="AB13" s="151">
        <v>8.5</v>
      </c>
      <c r="AC13" s="151">
        <v>7.5</v>
      </c>
      <c r="AD13" s="151">
        <v>6.5</v>
      </c>
      <c r="AE13" s="151">
        <v>5.5</v>
      </c>
      <c r="AF13" s="151">
        <v>4.5</v>
      </c>
      <c r="AG13" s="151">
        <v>3.5</v>
      </c>
      <c r="AH13" s="151">
        <v>2.5</v>
      </c>
      <c r="AI13" s="151">
        <v>1.5</v>
      </c>
      <c r="AJ13" s="151">
        <v>0.5</v>
      </c>
      <c r="AK13" s="151">
        <v>0</v>
      </c>
      <c r="AL13" s="151">
        <v>0</v>
      </c>
      <c r="AM13" s="151">
        <v>0</v>
      </c>
      <c r="AN13" s="151" t="s">
        <v>60</v>
      </c>
      <c r="AO13" s="151" t="s">
        <v>62</v>
      </c>
      <c r="AP13" s="151">
        <v>3</v>
      </c>
      <c r="AQ13" s="151">
        <v>2.5</v>
      </c>
      <c r="AR13" s="151">
        <v>2</v>
      </c>
      <c r="AS13" s="151">
        <v>1.5</v>
      </c>
      <c r="AT13" s="151">
        <v>1.5</v>
      </c>
      <c r="AU13" s="151">
        <v>1.5</v>
      </c>
      <c r="AV13" s="151">
        <v>1.5</v>
      </c>
      <c r="AW13" s="151">
        <v>1.5</v>
      </c>
      <c r="AX13" s="151">
        <v>1.5</v>
      </c>
      <c r="AY13" s="151">
        <v>1.5</v>
      </c>
      <c r="AZ13" s="151">
        <v>1.5</v>
      </c>
      <c r="BA13" s="151">
        <v>1.5</v>
      </c>
      <c r="BB13" s="151">
        <v>1.5</v>
      </c>
      <c r="BC13" s="151">
        <v>1.5</v>
      </c>
      <c r="BD13" s="151">
        <v>1</v>
      </c>
      <c r="BE13" s="151">
        <v>0.5</v>
      </c>
      <c r="BG13" s="151" t="s">
        <v>60</v>
      </c>
      <c r="BH13" s="151" t="s">
        <v>63</v>
      </c>
      <c r="BI13" s="151">
        <f t="shared" ref="BI13:BX13" si="6">9-(X13+X34)</f>
        <v>0</v>
      </c>
      <c r="BJ13" s="151">
        <f t="shared" si="6"/>
        <v>0</v>
      </c>
      <c r="BK13" s="151">
        <f t="shared" si="6"/>
        <v>0</v>
      </c>
      <c r="BL13" s="151">
        <f t="shared" si="6"/>
        <v>0</v>
      </c>
      <c r="BM13" s="151">
        <f t="shared" si="6"/>
        <v>0</v>
      </c>
      <c r="BN13" s="151">
        <f t="shared" si="6"/>
        <v>0</v>
      </c>
      <c r="BO13" s="151">
        <f t="shared" si="6"/>
        <v>0</v>
      </c>
      <c r="BP13" s="151">
        <f t="shared" si="6"/>
        <v>0</v>
      </c>
      <c r="BQ13" s="151">
        <f t="shared" si="6"/>
        <v>0</v>
      </c>
      <c r="BR13" s="151">
        <f t="shared" si="6"/>
        <v>0</v>
      </c>
      <c r="BS13" s="151">
        <f t="shared" si="6"/>
        <v>0</v>
      </c>
      <c r="BT13" s="151">
        <f t="shared" si="6"/>
        <v>0</v>
      </c>
      <c r="BU13" s="151">
        <f t="shared" si="6"/>
        <v>0</v>
      </c>
      <c r="BV13" s="151">
        <f t="shared" si="6"/>
        <v>0</v>
      </c>
      <c r="BW13" s="151">
        <f t="shared" si="6"/>
        <v>0</v>
      </c>
      <c r="BX13" s="151">
        <f t="shared" si="6"/>
        <v>0</v>
      </c>
    </row>
    <row r="14" spans="1:76" s="151" customFormat="1" ht="14.1" customHeight="1">
      <c r="A14" s="163" t="s">
        <v>64</v>
      </c>
      <c r="B14" s="151">
        <v>11</v>
      </c>
      <c r="C14" s="151">
        <f t="shared" ref="C14:R14" si="7">ROUND((($U$1*X$14)+($V$1*X$35)+($U$1*AP$14)+($V$1*AP$35)+($W$1*(2-(AP$14+AP$35)))+($W$1*(9-(X$14+X$35))))*$AO$11,0)</f>
        <v>25768</v>
      </c>
      <c r="D14" s="151">
        <f t="shared" si="7"/>
        <v>25768</v>
      </c>
      <c r="E14" s="151">
        <f t="shared" si="7"/>
        <v>25768</v>
      </c>
      <c r="F14" s="151">
        <f t="shared" si="7"/>
        <v>25814</v>
      </c>
      <c r="G14" s="151">
        <f t="shared" si="7"/>
        <v>25861</v>
      </c>
      <c r="H14" s="151">
        <f t="shared" si="7"/>
        <v>25955</v>
      </c>
      <c r="I14" s="151">
        <f t="shared" si="7"/>
        <v>26048</v>
      </c>
      <c r="J14" s="151">
        <f t="shared" si="7"/>
        <v>26142</v>
      </c>
      <c r="K14" s="151">
        <f t="shared" si="7"/>
        <v>26235</v>
      </c>
      <c r="L14" s="151">
        <f t="shared" si="7"/>
        <v>26329</v>
      </c>
      <c r="M14" s="151">
        <f t="shared" si="7"/>
        <v>26422</v>
      </c>
      <c r="N14" s="151">
        <f t="shared" si="7"/>
        <v>26516</v>
      </c>
      <c r="O14" s="151">
        <f t="shared" si="7"/>
        <v>26609</v>
      </c>
      <c r="P14" s="151">
        <f t="shared" si="7"/>
        <v>26656</v>
      </c>
      <c r="Q14" s="151">
        <f t="shared" si="7"/>
        <v>26703</v>
      </c>
      <c r="R14" s="151">
        <f t="shared" si="7"/>
        <v>26749</v>
      </c>
      <c r="V14" s="151" t="s">
        <v>65</v>
      </c>
      <c r="W14" s="151" t="s">
        <v>66</v>
      </c>
      <c r="X14" s="151">
        <v>9</v>
      </c>
      <c r="Y14" s="151">
        <v>9</v>
      </c>
      <c r="Z14" s="151">
        <v>9</v>
      </c>
      <c r="AA14" s="151">
        <v>9</v>
      </c>
      <c r="AB14" s="151">
        <v>8.5</v>
      </c>
      <c r="AC14" s="151">
        <v>7.5</v>
      </c>
      <c r="AD14" s="151">
        <v>6.5</v>
      </c>
      <c r="AE14" s="151">
        <v>5.5</v>
      </c>
      <c r="AF14" s="151">
        <v>4.5</v>
      </c>
      <c r="AG14" s="151">
        <v>3.5</v>
      </c>
      <c r="AH14" s="151">
        <v>2.5</v>
      </c>
      <c r="AI14" s="151">
        <v>1.5</v>
      </c>
      <c r="AJ14" s="151">
        <v>0.5</v>
      </c>
      <c r="AK14" s="151">
        <v>0</v>
      </c>
      <c r="AL14" s="151">
        <v>0</v>
      </c>
      <c r="AM14" s="151">
        <v>0</v>
      </c>
      <c r="AN14" s="151" t="s">
        <v>65</v>
      </c>
      <c r="AO14" s="151" t="s">
        <v>62</v>
      </c>
      <c r="AP14" s="151">
        <v>2</v>
      </c>
      <c r="AQ14" s="151">
        <v>2</v>
      </c>
      <c r="AR14" s="151">
        <v>2</v>
      </c>
      <c r="AS14" s="151">
        <v>1.5</v>
      </c>
      <c r="AT14" s="151">
        <v>1.5</v>
      </c>
      <c r="AU14" s="151">
        <v>1.5</v>
      </c>
      <c r="AV14" s="151">
        <v>1.5</v>
      </c>
      <c r="AW14" s="151">
        <v>1.5</v>
      </c>
      <c r="AX14" s="151">
        <v>1.5</v>
      </c>
      <c r="AY14" s="151">
        <v>1.5</v>
      </c>
      <c r="AZ14" s="151">
        <v>1.5</v>
      </c>
      <c r="BA14" s="151">
        <v>1.5</v>
      </c>
      <c r="BB14" s="151">
        <v>1.5</v>
      </c>
      <c r="BC14" s="151">
        <v>1.5</v>
      </c>
      <c r="BD14" s="151">
        <v>1</v>
      </c>
      <c r="BE14" s="151">
        <v>0.5</v>
      </c>
      <c r="BG14" s="151" t="s">
        <v>65</v>
      </c>
      <c r="BH14" s="151" t="s">
        <v>67</v>
      </c>
      <c r="BI14" s="151">
        <v>9</v>
      </c>
      <c r="BJ14" s="151">
        <v>8</v>
      </c>
      <c r="BK14" s="151">
        <v>7</v>
      </c>
      <c r="BL14" s="151">
        <v>6</v>
      </c>
      <c r="BM14" s="151">
        <v>5</v>
      </c>
      <c r="BN14" s="151">
        <v>4.5</v>
      </c>
      <c r="BO14" s="151">
        <v>4.5</v>
      </c>
      <c r="BP14" s="151">
        <v>4.5</v>
      </c>
      <c r="BQ14" s="151">
        <v>4.5</v>
      </c>
      <c r="BR14" s="151">
        <v>4.5</v>
      </c>
      <c r="BS14" s="151">
        <v>4.5</v>
      </c>
      <c r="BT14" s="151">
        <v>4.5</v>
      </c>
      <c r="BU14" s="151">
        <v>4</v>
      </c>
      <c r="BV14" s="151">
        <v>3</v>
      </c>
      <c r="BW14" s="151">
        <v>2</v>
      </c>
      <c r="BX14" s="151">
        <v>1</v>
      </c>
    </row>
    <row r="15" spans="1:76" s="151" customFormat="1" ht="14.1" customHeight="1">
      <c r="A15" s="163" t="s">
        <v>68</v>
      </c>
      <c r="B15" s="151">
        <v>10</v>
      </c>
      <c r="C15" s="151">
        <f t="shared" ref="C15:R15" si="8">ROUND((($U$1*X$15)+($V$1*X$36)+($U$1*AP$15)+($V$1*AP$36)+($W$1*(1-(AP$15+AP$36)))+($W$1*(9-(X$15+X$36))))*$AO$11,0)</f>
        <v>23425</v>
      </c>
      <c r="D15" s="151">
        <f t="shared" si="8"/>
        <v>23425</v>
      </c>
      <c r="E15" s="151">
        <f t="shared" si="8"/>
        <v>23425</v>
      </c>
      <c r="F15" s="151">
        <f t="shared" si="8"/>
        <v>23425</v>
      </c>
      <c r="G15" s="151">
        <f t="shared" si="8"/>
        <v>23472</v>
      </c>
      <c r="H15" s="151">
        <f t="shared" si="8"/>
        <v>23565</v>
      </c>
      <c r="I15" s="151">
        <f t="shared" si="8"/>
        <v>23659</v>
      </c>
      <c r="J15" s="151">
        <f t="shared" si="8"/>
        <v>23752</v>
      </c>
      <c r="K15" s="151">
        <f t="shared" si="8"/>
        <v>23846</v>
      </c>
      <c r="L15" s="151">
        <f t="shared" si="8"/>
        <v>23939</v>
      </c>
      <c r="M15" s="151">
        <f t="shared" si="8"/>
        <v>24033</v>
      </c>
      <c r="N15" s="151">
        <f t="shared" si="8"/>
        <v>24126</v>
      </c>
      <c r="O15" s="151">
        <f t="shared" si="8"/>
        <v>24220</v>
      </c>
      <c r="P15" s="151">
        <f t="shared" si="8"/>
        <v>24267</v>
      </c>
      <c r="Q15" s="151">
        <f t="shared" si="8"/>
        <v>24267</v>
      </c>
      <c r="R15" s="151">
        <f t="shared" si="8"/>
        <v>24313</v>
      </c>
      <c r="V15" s="151" t="s">
        <v>69</v>
      </c>
      <c r="W15" s="151" t="s">
        <v>66</v>
      </c>
      <c r="X15" s="151">
        <v>9</v>
      </c>
      <c r="Y15" s="151">
        <v>9</v>
      </c>
      <c r="Z15" s="151">
        <v>9</v>
      </c>
      <c r="AA15" s="151">
        <v>9</v>
      </c>
      <c r="AB15" s="151">
        <v>8.5</v>
      </c>
      <c r="AC15" s="151">
        <v>7.5</v>
      </c>
      <c r="AD15" s="151">
        <v>6.5</v>
      </c>
      <c r="AE15" s="151">
        <v>5.5</v>
      </c>
      <c r="AF15" s="151">
        <v>4.5</v>
      </c>
      <c r="AG15" s="151">
        <v>3.5</v>
      </c>
      <c r="AH15" s="151">
        <v>2.5</v>
      </c>
      <c r="AI15" s="151">
        <v>1.5</v>
      </c>
      <c r="AJ15" s="151">
        <v>0.5</v>
      </c>
      <c r="AK15" s="151">
        <v>0</v>
      </c>
      <c r="AL15" s="151">
        <v>0</v>
      </c>
      <c r="AM15" s="151">
        <v>0</v>
      </c>
      <c r="AN15" s="151" t="s">
        <v>69</v>
      </c>
      <c r="AO15" s="151" t="s">
        <v>62</v>
      </c>
      <c r="AP15" s="151">
        <v>1</v>
      </c>
      <c r="AQ15" s="151">
        <v>1</v>
      </c>
      <c r="AR15" s="151">
        <v>1</v>
      </c>
      <c r="AS15" s="151">
        <v>1</v>
      </c>
      <c r="AT15" s="151">
        <v>1</v>
      </c>
      <c r="AU15" s="151">
        <v>1</v>
      </c>
      <c r="AV15" s="151">
        <v>1</v>
      </c>
      <c r="AW15" s="151">
        <v>1</v>
      </c>
      <c r="AX15" s="151">
        <v>1</v>
      </c>
      <c r="AY15" s="151">
        <v>1</v>
      </c>
      <c r="AZ15" s="151">
        <v>1</v>
      </c>
      <c r="BA15" s="151">
        <v>1</v>
      </c>
      <c r="BB15" s="151">
        <v>1</v>
      </c>
      <c r="BC15" s="151">
        <v>1</v>
      </c>
      <c r="BD15" s="151">
        <v>1</v>
      </c>
      <c r="BE15" s="151">
        <v>0.5</v>
      </c>
      <c r="BG15" s="151" t="s">
        <v>69</v>
      </c>
      <c r="BH15" s="151" t="s">
        <v>67</v>
      </c>
      <c r="BI15" s="151">
        <v>9</v>
      </c>
      <c r="BJ15" s="151">
        <v>8</v>
      </c>
      <c r="BK15" s="151">
        <v>7</v>
      </c>
      <c r="BL15" s="151">
        <v>6</v>
      </c>
      <c r="BM15" s="151">
        <v>5</v>
      </c>
      <c r="BN15" s="151">
        <v>4.5</v>
      </c>
      <c r="BO15" s="151">
        <v>4.5</v>
      </c>
      <c r="BP15" s="151">
        <v>4.5</v>
      </c>
      <c r="BQ15" s="151">
        <v>4.5</v>
      </c>
      <c r="BR15" s="151">
        <v>4.5</v>
      </c>
      <c r="BS15" s="151">
        <v>4.5</v>
      </c>
      <c r="BT15" s="151">
        <v>4.5</v>
      </c>
      <c r="BU15" s="151">
        <v>4</v>
      </c>
      <c r="BV15" s="151">
        <v>3</v>
      </c>
      <c r="BW15" s="151">
        <v>2</v>
      </c>
      <c r="BX15" s="151">
        <v>1</v>
      </c>
    </row>
    <row r="16" spans="1:76" s="151" customFormat="1" ht="14.1" customHeight="1">
      <c r="A16" s="163" t="s">
        <v>70</v>
      </c>
      <c r="B16" s="151">
        <v>9</v>
      </c>
      <c r="C16" s="151">
        <f t="shared" ref="C16:R16" si="9">ROUND((($U$1*X$16)+($V$1*X$37)+($U$1*AP$16)+($V$1*AP$37)+($W$1*(0-(AP$16+AP$37)))+($W$1*(9-(X$16+X$37))))*$AO$11,0)</f>
        <v>21083</v>
      </c>
      <c r="D16" s="151">
        <f t="shared" si="9"/>
        <v>21083</v>
      </c>
      <c r="E16" s="151">
        <f t="shared" si="9"/>
        <v>21083</v>
      </c>
      <c r="F16" s="151">
        <f t="shared" si="9"/>
        <v>21083</v>
      </c>
      <c r="G16" s="151">
        <f t="shared" si="9"/>
        <v>21129</v>
      </c>
      <c r="H16" s="151">
        <f t="shared" si="9"/>
        <v>21223</v>
      </c>
      <c r="I16" s="151">
        <f t="shared" si="9"/>
        <v>21316</v>
      </c>
      <c r="J16" s="151">
        <f t="shared" si="9"/>
        <v>21410</v>
      </c>
      <c r="K16" s="151">
        <f t="shared" si="9"/>
        <v>21503</v>
      </c>
      <c r="L16" s="151">
        <f t="shared" si="9"/>
        <v>21597</v>
      </c>
      <c r="M16" s="151">
        <f t="shared" si="9"/>
        <v>21690</v>
      </c>
      <c r="N16" s="151">
        <f t="shared" si="9"/>
        <v>21784</v>
      </c>
      <c r="O16" s="151">
        <f t="shared" si="9"/>
        <v>21877</v>
      </c>
      <c r="P16" s="151">
        <f t="shared" si="9"/>
        <v>21924</v>
      </c>
      <c r="Q16" s="151">
        <f t="shared" si="9"/>
        <v>21924</v>
      </c>
      <c r="R16" s="151">
        <f t="shared" si="9"/>
        <v>21924</v>
      </c>
      <c r="V16" s="151" t="s">
        <v>71</v>
      </c>
      <c r="W16" s="151" t="s">
        <v>66</v>
      </c>
      <c r="X16" s="151">
        <v>9</v>
      </c>
      <c r="Y16" s="151">
        <v>9</v>
      </c>
      <c r="Z16" s="151">
        <v>9</v>
      </c>
      <c r="AA16" s="151">
        <v>9</v>
      </c>
      <c r="AB16" s="151">
        <v>8.5</v>
      </c>
      <c r="AC16" s="151">
        <v>7.5</v>
      </c>
      <c r="AD16" s="151">
        <v>6.5</v>
      </c>
      <c r="AE16" s="151">
        <v>5.5</v>
      </c>
      <c r="AF16" s="151">
        <v>4.5</v>
      </c>
      <c r="AG16" s="151">
        <v>3.5</v>
      </c>
      <c r="AH16" s="151">
        <v>2.5</v>
      </c>
      <c r="AI16" s="151">
        <v>1.5</v>
      </c>
      <c r="AJ16" s="151">
        <v>0.5</v>
      </c>
      <c r="AK16" s="151">
        <v>0</v>
      </c>
      <c r="AL16" s="151">
        <v>0</v>
      </c>
      <c r="AM16" s="151">
        <v>0</v>
      </c>
      <c r="AN16" s="151" t="s">
        <v>71</v>
      </c>
      <c r="AO16" s="151" t="s">
        <v>62</v>
      </c>
      <c r="AP16" s="151">
        <v>0</v>
      </c>
      <c r="AQ16" s="151">
        <v>0</v>
      </c>
      <c r="AR16" s="151">
        <v>0</v>
      </c>
      <c r="AS16" s="151">
        <v>0</v>
      </c>
      <c r="AT16" s="151">
        <v>0</v>
      </c>
      <c r="AU16" s="151">
        <v>0</v>
      </c>
      <c r="AV16" s="151">
        <v>0</v>
      </c>
      <c r="AW16" s="151">
        <v>0</v>
      </c>
      <c r="AX16" s="151">
        <v>0</v>
      </c>
      <c r="AY16" s="151">
        <v>0</v>
      </c>
      <c r="AZ16" s="151">
        <v>0</v>
      </c>
      <c r="BA16" s="151">
        <v>0</v>
      </c>
      <c r="BB16" s="151">
        <v>0</v>
      </c>
      <c r="BC16" s="151">
        <v>0</v>
      </c>
      <c r="BD16" s="151">
        <v>0</v>
      </c>
      <c r="BE16" s="151">
        <v>0</v>
      </c>
      <c r="BG16" s="151" t="s">
        <v>71</v>
      </c>
      <c r="BH16" s="151" t="s">
        <v>67</v>
      </c>
      <c r="BI16" s="151">
        <v>9</v>
      </c>
      <c r="BJ16" s="151">
        <v>8</v>
      </c>
      <c r="BK16" s="151">
        <v>7</v>
      </c>
      <c r="BL16" s="151">
        <v>6</v>
      </c>
      <c r="BM16" s="151">
        <v>5</v>
      </c>
      <c r="BN16" s="151">
        <v>4.5</v>
      </c>
      <c r="BO16" s="151">
        <v>4.5</v>
      </c>
      <c r="BP16" s="151">
        <v>4.5</v>
      </c>
      <c r="BQ16" s="151">
        <v>4.5</v>
      </c>
      <c r="BR16" s="151">
        <v>4.5</v>
      </c>
      <c r="BS16" s="151">
        <v>4.5</v>
      </c>
      <c r="BT16" s="151">
        <v>4.5</v>
      </c>
      <c r="BU16" s="151">
        <v>4</v>
      </c>
      <c r="BV16" s="151">
        <v>3</v>
      </c>
      <c r="BW16" s="151">
        <v>2</v>
      </c>
      <c r="BX16" s="151">
        <v>1</v>
      </c>
    </row>
    <row r="17" spans="1:76" s="151" customFormat="1" ht="14.1" customHeight="1">
      <c r="A17" s="163" t="s">
        <v>72</v>
      </c>
      <c r="B17" s="151">
        <v>3</v>
      </c>
      <c r="C17" s="151">
        <f t="shared" ref="C17:R17" si="10">ROUND((($U$1*X$17)+($V$1*X$38)+($U$1*AP$17)+($V$1*AP$38)+($W$1*(3-(AP$17+AP$38)))+($W$1*(0-(X$17+X$38))))*$AO$11,0)</f>
        <v>7028</v>
      </c>
      <c r="D17" s="151">
        <f t="shared" si="10"/>
        <v>7074</v>
      </c>
      <c r="E17" s="151">
        <f t="shared" si="10"/>
        <v>7121</v>
      </c>
      <c r="F17" s="151">
        <f t="shared" si="10"/>
        <v>7168</v>
      </c>
      <c r="G17" s="151">
        <f t="shared" si="10"/>
        <v>7168</v>
      </c>
      <c r="H17" s="151">
        <f t="shared" si="10"/>
        <v>7168</v>
      </c>
      <c r="I17" s="151">
        <f t="shared" si="10"/>
        <v>7168</v>
      </c>
      <c r="J17" s="151">
        <f t="shared" si="10"/>
        <v>7168</v>
      </c>
      <c r="K17" s="151">
        <f t="shared" si="10"/>
        <v>7168</v>
      </c>
      <c r="L17" s="151">
        <f t="shared" si="10"/>
        <v>7168</v>
      </c>
      <c r="M17" s="151">
        <f t="shared" si="10"/>
        <v>7168</v>
      </c>
      <c r="N17" s="151">
        <f t="shared" si="10"/>
        <v>7168</v>
      </c>
      <c r="O17" s="151">
        <f t="shared" si="10"/>
        <v>7168</v>
      </c>
      <c r="P17" s="151">
        <f t="shared" si="10"/>
        <v>7168</v>
      </c>
      <c r="Q17" s="151">
        <f t="shared" si="10"/>
        <v>7215</v>
      </c>
      <c r="R17" s="151">
        <f t="shared" si="10"/>
        <v>7261</v>
      </c>
      <c r="V17" s="151" t="s">
        <v>73</v>
      </c>
      <c r="W17" s="151" t="s">
        <v>62</v>
      </c>
      <c r="X17" s="151">
        <v>0</v>
      </c>
      <c r="Y17" s="151">
        <v>0</v>
      </c>
      <c r="Z17" s="151">
        <v>0</v>
      </c>
      <c r="AA17" s="151">
        <v>0</v>
      </c>
      <c r="AB17" s="151">
        <v>0</v>
      </c>
      <c r="AC17" s="151">
        <v>0</v>
      </c>
      <c r="AD17" s="151">
        <v>0</v>
      </c>
      <c r="AE17" s="151">
        <v>0</v>
      </c>
      <c r="AF17" s="151">
        <v>0</v>
      </c>
      <c r="AG17" s="151">
        <v>0</v>
      </c>
      <c r="AH17" s="151">
        <v>0</v>
      </c>
      <c r="AI17" s="151">
        <v>0</v>
      </c>
      <c r="AJ17" s="151">
        <v>0</v>
      </c>
      <c r="AK17" s="151">
        <v>0</v>
      </c>
      <c r="AL17" s="151">
        <v>0</v>
      </c>
      <c r="AM17" s="151">
        <v>0</v>
      </c>
      <c r="AN17" s="151" t="s">
        <v>73</v>
      </c>
      <c r="AO17" s="151" t="s">
        <v>62</v>
      </c>
      <c r="AP17" s="151">
        <v>3</v>
      </c>
      <c r="AQ17" s="151">
        <v>2.5</v>
      </c>
      <c r="AR17" s="151">
        <v>2</v>
      </c>
      <c r="AS17" s="151">
        <v>1.5</v>
      </c>
      <c r="AT17" s="151">
        <v>1.5</v>
      </c>
      <c r="AU17" s="151">
        <v>1.5</v>
      </c>
      <c r="AV17" s="151">
        <v>1.5</v>
      </c>
      <c r="AW17" s="151">
        <v>1.5</v>
      </c>
      <c r="AX17" s="151">
        <v>1.5</v>
      </c>
      <c r="AY17" s="151">
        <v>1.5</v>
      </c>
      <c r="AZ17" s="151">
        <v>1.5</v>
      </c>
      <c r="BA17" s="151">
        <v>1.5</v>
      </c>
      <c r="BB17" s="151">
        <v>1.5</v>
      </c>
      <c r="BC17" s="151">
        <v>1.5</v>
      </c>
      <c r="BD17" s="151">
        <v>1</v>
      </c>
      <c r="BE17" s="151">
        <v>0.5</v>
      </c>
      <c r="BG17" s="151" t="s">
        <v>73</v>
      </c>
      <c r="BH17" s="151" t="s">
        <v>74</v>
      </c>
      <c r="BI17" s="151">
        <v>0</v>
      </c>
      <c r="BJ17" s="151">
        <v>0</v>
      </c>
      <c r="BK17" s="151">
        <v>0</v>
      </c>
      <c r="BL17" s="151">
        <v>0</v>
      </c>
      <c r="BM17" s="151">
        <v>0</v>
      </c>
      <c r="BN17" s="151">
        <v>0</v>
      </c>
      <c r="BO17" s="151">
        <v>0</v>
      </c>
      <c r="BP17" s="151">
        <v>0</v>
      </c>
      <c r="BQ17" s="151">
        <v>0</v>
      </c>
      <c r="BR17" s="151">
        <v>0</v>
      </c>
      <c r="BS17" s="151">
        <v>0</v>
      </c>
      <c r="BT17" s="151">
        <v>0</v>
      </c>
      <c r="BU17" s="151">
        <v>0</v>
      </c>
      <c r="BV17" s="151">
        <v>0</v>
      </c>
      <c r="BW17" s="151">
        <v>0</v>
      </c>
      <c r="BX17" s="151">
        <v>0</v>
      </c>
    </row>
    <row r="18" spans="1:76" s="151" customFormat="1" ht="14.1" customHeight="1">
      <c r="A18" s="163" t="s">
        <v>75</v>
      </c>
      <c r="B18" s="151">
        <v>2</v>
      </c>
      <c r="C18" s="151">
        <f t="shared" ref="C18:R18" si="11">ROUND((($U$1*X$18)+($V$1*X$39)+($U$1*AP$18)+($V$1*AP$39)+($W$1*(2-(AP$18+AP$39)))+($W$1*(0-(X$18+X$39))))*$AO$11,0)</f>
        <v>4685</v>
      </c>
      <c r="D18" s="151">
        <f t="shared" si="11"/>
        <v>4685</v>
      </c>
      <c r="E18" s="151">
        <f t="shared" si="11"/>
        <v>4685</v>
      </c>
      <c r="F18" s="151">
        <f t="shared" si="11"/>
        <v>4732</v>
      </c>
      <c r="G18" s="151">
        <f t="shared" si="11"/>
        <v>4732</v>
      </c>
      <c r="H18" s="151">
        <f t="shared" si="11"/>
        <v>4732</v>
      </c>
      <c r="I18" s="151">
        <f t="shared" si="11"/>
        <v>4732</v>
      </c>
      <c r="J18" s="151">
        <f t="shared" si="11"/>
        <v>4732</v>
      </c>
      <c r="K18" s="151">
        <f t="shared" si="11"/>
        <v>4732</v>
      </c>
      <c r="L18" s="151">
        <f t="shared" si="11"/>
        <v>4732</v>
      </c>
      <c r="M18" s="151">
        <f t="shared" si="11"/>
        <v>4732</v>
      </c>
      <c r="N18" s="151">
        <f t="shared" si="11"/>
        <v>4732</v>
      </c>
      <c r="O18" s="151">
        <f t="shared" si="11"/>
        <v>4732</v>
      </c>
      <c r="P18" s="151">
        <f t="shared" si="11"/>
        <v>4732</v>
      </c>
      <c r="Q18" s="151">
        <f t="shared" si="11"/>
        <v>4779</v>
      </c>
      <c r="R18" s="151">
        <f t="shared" si="11"/>
        <v>4825</v>
      </c>
      <c r="V18" s="151" t="s">
        <v>76</v>
      </c>
      <c r="W18" s="151" t="s">
        <v>62</v>
      </c>
      <c r="X18" s="151">
        <v>0</v>
      </c>
      <c r="Y18" s="151">
        <v>0</v>
      </c>
      <c r="Z18" s="151">
        <v>0</v>
      </c>
      <c r="AA18" s="151">
        <v>0</v>
      </c>
      <c r="AB18" s="151">
        <v>0</v>
      </c>
      <c r="AC18" s="151">
        <v>0</v>
      </c>
      <c r="AD18" s="151">
        <v>0</v>
      </c>
      <c r="AE18" s="151">
        <v>0</v>
      </c>
      <c r="AF18" s="151">
        <v>0</v>
      </c>
      <c r="AG18" s="151">
        <v>0</v>
      </c>
      <c r="AH18" s="151">
        <v>0</v>
      </c>
      <c r="AI18" s="151">
        <v>0</v>
      </c>
      <c r="AJ18" s="151">
        <v>0</v>
      </c>
      <c r="AK18" s="151">
        <v>0</v>
      </c>
      <c r="AL18" s="151">
        <v>0</v>
      </c>
      <c r="AM18" s="151">
        <v>0</v>
      </c>
      <c r="AN18" s="151" t="s">
        <v>76</v>
      </c>
      <c r="AO18" s="151" t="s">
        <v>62</v>
      </c>
      <c r="AP18" s="151">
        <v>2</v>
      </c>
      <c r="AQ18" s="151">
        <v>2</v>
      </c>
      <c r="AR18" s="151">
        <v>2</v>
      </c>
      <c r="AS18" s="151">
        <v>1.5</v>
      </c>
      <c r="AT18" s="151">
        <v>1.5</v>
      </c>
      <c r="AU18" s="151">
        <v>1.5</v>
      </c>
      <c r="AV18" s="151">
        <v>1.5</v>
      </c>
      <c r="AW18" s="151">
        <v>1.5</v>
      </c>
      <c r="AX18" s="151">
        <v>1.5</v>
      </c>
      <c r="AY18" s="151">
        <v>1.5</v>
      </c>
      <c r="AZ18" s="151">
        <v>1.5</v>
      </c>
      <c r="BA18" s="151">
        <v>1.5</v>
      </c>
      <c r="BB18" s="151">
        <v>1.5</v>
      </c>
      <c r="BC18" s="151">
        <v>1.5</v>
      </c>
      <c r="BD18" s="151">
        <v>1</v>
      </c>
      <c r="BE18" s="151">
        <v>0.5</v>
      </c>
      <c r="BG18" s="151" t="s">
        <v>76</v>
      </c>
      <c r="BH18" s="151" t="s">
        <v>74</v>
      </c>
      <c r="BI18" s="151">
        <v>0</v>
      </c>
      <c r="BJ18" s="151">
        <v>0</v>
      </c>
      <c r="BK18" s="151">
        <v>0</v>
      </c>
      <c r="BL18" s="151">
        <v>0</v>
      </c>
      <c r="BM18" s="151">
        <v>0</v>
      </c>
      <c r="BN18" s="151">
        <v>0</v>
      </c>
      <c r="BO18" s="151">
        <v>0</v>
      </c>
      <c r="BP18" s="151">
        <v>0</v>
      </c>
      <c r="BQ18" s="151">
        <v>0</v>
      </c>
      <c r="BR18" s="151">
        <v>0</v>
      </c>
      <c r="BS18" s="151">
        <v>0</v>
      </c>
      <c r="BT18" s="151">
        <v>0</v>
      </c>
      <c r="BU18" s="151">
        <v>0</v>
      </c>
      <c r="BV18" s="151">
        <v>0</v>
      </c>
      <c r="BW18" s="151">
        <v>0</v>
      </c>
      <c r="BX18" s="151">
        <v>0</v>
      </c>
    </row>
    <row r="19" spans="1:76" s="151" customFormat="1" ht="14.1" customHeight="1">
      <c r="A19" s="163" t="s">
        <v>77</v>
      </c>
      <c r="B19" s="151">
        <v>1</v>
      </c>
      <c r="C19" s="151">
        <f t="shared" ref="C19:R19" si="12">ROUND((($U$1*X$19)+($V$1*X$40)+($U$1*AP$19)+($V$1*AP$40)+($W$1*(1-(AP$19+AP$40)))+($W$1*(0-(X$19+X$40))))*$AO$11,0)</f>
        <v>2343</v>
      </c>
      <c r="D19" s="151">
        <f t="shared" si="12"/>
        <v>2343</v>
      </c>
      <c r="E19" s="151">
        <f t="shared" si="12"/>
        <v>2343</v>
      </c>
      <c r="F19" s="151">
        <f t="shared" si="12"/>
        <v>2343</v>
      </c>
      <c r="G19" s="151">
        <f t="shared" si="12"/>
        <v>2343</v>
      </c>
      <c r="H19" s="151">
        <f t="shared" si="12"/>
        <v>2343</v>
      </c>
      <c r="I19" s="151">
        <f t="shared" si="12"/>
        <v>2343</v>
      </c>
      <c r="J19" s="151">
        <f t="shared" si="12"/>
        <v>2343</v>
      </c>
      <c r="K19" s="151">
        <f t="shared" si="12"/>
        <v>2343</v>
      </c>
      <c r="L19" s="151">
        <f t="shared" si="12"/>
        <v>2343</v>
      </c>
      <c r="M19" s="151">
        <f t="shared" si="12"/>
        <v>2343</v>
      </c>
      <c r="N19" s="151">
        <f t="shared" si="12"/>
        <v>2343</v>
      </c>
      <c r="O19" s="151">
        <f t="shared" si="12"/>
        <v>2343</v>
      </c>
      <c r="P19" s="151">
        <f t="shared" si="12"/>
        <v>2343</v>
      </c>
      <c r="Q19" s="151">
        <f t="shared" si="12"/>
        <v>2343</v>
      </c>
      <c r="R19" s="151">
        <f t="shared" si="12"/>
        <v>2389</v>
      </c>
      <c r="V19" s="151" t="s">
        <v>78</v>
      </c>
      <c r="W19" s="151" t="s">
        <v>62</v>
      </c>
      <c r="X19" s="151">
        <v>0</v>
      </c>
      <c r="Y19" s="151">
        <v>0</v>
      </c>
      <c r="Z19" s="151">
        <v>0</v>
      </c>
      <c r="AA19" s="151">
        <v>0</v>
      </c>
      <c r="AB19" s="151">
        <v>0</v>
      </c>
      <c r="AC19" s="151">
        <v>0</v>
      </c>
      <c r="AD19" s="151">
        <v>0</v>
      </c>
      <c r="AE19" s="151">
        <v>0</v>
      </c>
      <c r="AF19" s="151">
        <v>0</v>
      </c>
      <c r="AG19" s="151">
        <v>0</v>
      </c>
      <c r="AH19" s="151">
        <v>0</v>
      </c>
      <c r="AI19" s="151">
        <v>0</v>
      </c>
      <c r="AJ19" s="151">
        <v>0</v>
      </c>
      <c r="AK19" s="151">
        <v>0</v>
      </c>
      <c r="AL19" s="151">
        <v>0</v>
      </c>
      <c r="AM19" s="151">
        <v>0</v>
      </c>
      <c r="AN19" s="151" t="s">
        <v>78</v>
      </c>
      <c r="AO19" s="151" t="s">
        <v>62</v>
      </c>
      <c r="AP19" s="151">
        <v>1</v>
      </c>
      <c r="AQ19" s="151">
        <v>1</v>
      </c>
      <c r="AR19" s="151">
        <v>1</v>
      </c>
      <c r="AS19" s="151">
        <v>1</v>
      </c>
      <c r="AT19" s="151">
        <v>1</v>
      </c>
      <c r="AU19" s="151">
        <v>1</v>
      </c>
      <c r="AV19" s="151">
        <v>1</v>
      </c>
      <c r="AW19" s="151">
        <v>1</v>
      </c>
      <c r="AX19" s="151">
        <v>1</v>
      </c>
      <c r="AY19" s="151">
        <v>1</v>
      </c>
      <c r="AZ19" s="151">
        <v>1</v>
      </c>
      <c r="BA19" s="151">
        <v>1</v>
      </c>
      <c r="BB19" s="151">
        <v>1</v>
      </c>
      <c r="BC19" s="151">
        <v>1</v>
      </c>
      <c r="BD19" s="151">
        <v>1</v>
      </c>
      <c r="BE19" s="151">
        <v>0.5</v>
      </c>
      <c r="BG19" s="151" t="s">
        <v>78</v>
      </c>
      <c r="BH19" s="151" t="s">
        <v>74</v>
      </c>
      <c r="BI19" s="151">
        <v>0</v>
      </c>
      <c r="BJ19" s="151">
        <v>0</v>
      </c>
      <c r="BK19" s="151">
        <v>0</v>
      </c>
      <c r="BL19" s="151">
        <v>0</v>
      </c>
      <c r="BM19" s="151">
        <v>0</v>
      </c>
      <c r="BN19" s="151">
        <v>0</v>
      </c>
      <c r="BO19" s="151">
        <v>0</v>
      </c>
      <c r="BP19" s="151">
        <v>0</v>
      </c>
      <c r="BQ19" s="151">
        <v>0</v>
      </c>
      <c r="BR19" s="151">
        <v>0</v>
      </c>
      <c r="BS19" s="151">
        <v>0</v>
      </c>
      <c r="BT19" s="151">
        <v>0</v>
      </c>
      <c r="BU19" s="151">
        <v>0</v>
      </c>
      <c r="BV19" s="151">
        <v>0</v>
      </c>
      <c r="BW19" s="151">
        <v>0</v>
      </c>
      <c r="BX19" s="151">
        <v>0</v>
      </c>
    </row>
    <row r="20" spans="1:76" s="151" customFormat="1" ht="14.1" customHeight="1">
      <c r="A20" s="163"/>
      <c r="AN20" s="170" t="s">
        <v>53</v>
      </c>
      <c r="AO20" s="180">
        <f>+W11</f>
        <v>0.5</v>
      </c>
    </row>
    <row r="21" spans="1:76" s="151" customFormat="1" ht="14.1" customHeight="1">
      <c r="A21" s="149" t="s">
        <v>630</v>
      </c>
      <c r="B21" s="164"/>
      <c r="C21" s="165"/>
      <c r="D21" s="165"/>
      <c r="E21" s="165"/>
      <c r="F21" s="165"/>
      <c r="G21" s="165"/>
      <c r="H21" s="165"/>
      <c r="I21" s="165"/>
      <c r="J21" s="165"/>
      <c r="K21" s="165"/>
      <c r="L21" s="165"/>
      <c r="M21" s="165"/>
      <c r="N21" s="165"/>
      <c r="O21" s="165"/>
      <c r="P21" s="165"/>
      <c r="Q21" s="165"/>
      <c r="R21" s="165"/>
      <c r="V21" s="167" t="s">
        <v>53</v>
      </c>
      <c r="W21" s="168">
        <f>+W11</f>
        <v>0.5</v>
      </c>
      <c r="AN21" s="181"/>
      <c r="AO21" s="178"/>
      <c r="AP21" s="181">
        <f t="shared" ref="AP21:BE21" si="13">+X22</f>
        <v>44012</v>
      </c>
      <c r="AQ21" s="181">
        <f t="shared" si="13"/>
        <v>44027</v>
      </c>
      <c r="AR21" s="181">
        <f t="shared" si="13"/>
        <v>44043</v>
      </c>
      <c r="AS21" s="181">
        <f t="shared" si="13"/>
        <v>44058</v>
      </c>
      <c r="AT21" s="181">
        <f t="shared" si="13"/>
        <v>44074</v>
      </c>
      <c r="AU21" s="181">
        <f t="shared" si="13"/>
        <v>44104</v>
      </c>
      <c r="AV21" s="181">
        <f t="shared" si="13"/>
        <v>44135</v>
      </c>
      <c r="AW21" s="181">
        <f t="shared" si="13"/>
        <v>44165</v>
      </c>
      <c r="AX21" s="181">
        <f t="shared" si="13"/>
        <v>44196</v>
      </c>
      <c r="AY21" s="181">
        <f t="shared" si="13"/>
        <v>44227</v>
      </c>
      <c r="AZ21" s="181">
        <f t="shared" si="13"/>
        <v>44255</v>
      </c>
      <c r="BA21" s="181">
        <f t="shared" si="13"/>
        <v>44286</v>
      </c>
      <c r="BB21" s="181">
        <f t="shared" si="13"/>
        <v>44316</v>
      </c>
      <c r="BC21" s="181">
        <f t="shared" si="13"/>
        <v>44331</v>
      </c>
      <c r="BD21" s="181">
        <f t="shared" si="13"/>
        <v>44347</v>
      </c>
      <c r="BE21" s="181">
        <f t="shared" si="13"/>
        <v>44362</v>
      </c>
    </row>
    <row r="22" spans="1:76" s="151" customFormat="1" ht="14.1" customHeight="1">
      <c r="A22" s="111"/>
      <c r="B22" s="166" t="s">
        <v>54</v>
      </c>
      <c r="C22" s="165"/>
      <c r="D22" s="165"/>
      <c r="E22" s="165"/>
      <c r="F22" s="165"/>
      <c r="G22" s="165"/>
      <c r="H22" s="165"/>
      <c r="I22" s="165"/>
      <c r="J22" s="165"/>
      <c r="K22" s="165"/>
      <c r="L22" s="165"/>
      <c r="M22" s="165"/>
      <c r="N22" s="165"/>
      <c r="O22" s="165"/>
      <c r="P22" s="165"/>
      <c r="Q22" s="165"/>
      <c r="R22" s="165"/>
      <c r="V22" s="175" t="s">
        <v>79</v>
      </c>
      <c r="W22" s="176"/>
      <c r="X22" s="181">
        <f>X12</f>
        <v>44012</v>
      </c>
      <c r="Y22" s="181">
        <f t="shared" ref="Y22:AM22" si="14">Y12</f>
        <v>44027</v>
      </c>
      <c r="Z22" s="181">
        <f t="shared" si="14"/>
        <v>44043</v>
      </c>
      <c r="AA22" s="181">
        <f t="shared" si="14"/>
        <v>44058</v>
      </c>
      <c r="AB22" s="181">
        <f t="shared" si="14"/>
        <v>44074</v>
      </c>
      <c r="AC22" s="181">
        <f t="shared" si="14"/>
        <v>44104</v>
      </c>
      <c r="AD22" s="181">
        <f t="shared" si="14"/>
        <v>44135</v>
      </c>
      <c r="AE22" s="181">
        <f t="shared" si="14"/>
        <v>44165</v>
      </c>
      <c r="AF22" s="181">
        <f t="shared" si="14"/>
        <v>44196</v>
      </c>
      <c r="AG22" s="181">
        <f t="shared" si="14"/>
        <v>44227</v>
      </c>
      <c r="AH22" s="181">
        <f t="shared" si="14"/>
        <v>44255</v>
      </c>
      <c r="AI22" s="181">
        <f t="shared" si="14"/>
        <v>44286</v>
      </c>
      <c r="AJ22" s="181">
        <f t="shared" si="14"/>
        <v>44316</v>
      </c>
      <c r="AK22" s="181">
        <f t="shared" si="14"/>
        <v>44331</v>
      </c>
      <c r="AL22" s="181">
        <f t="shared" si="14"/>
        <v>44347</v>
      </c>
      <c r="AM22" s="181">
        <f t="shared" si="14"/>
        <v>44362</v>
      </c>
      <c r="AN22" s="182"/>
      <c r="AP22" s="182"/>
      <c r="AQ22" s="182"/>
      <c r="AR22" s="182"/>
      <c r="AS22" s="182"/>
      <c r="AT22" s="182"/>
      <c r="AU22" s="182"/>
      <c r="AV22" s="182"/>
      <c r="AW22" s="182"/>
      <c r="AX22" s="182"/>
      <c r="AY22" s="182"/>
      <c r="AZ22" s="182"/>
      <c r="BA22" s="182"/>
      <c r="BB22" s="182"/>
      <c r="BC22" s="182"/>
      <c r="BD22" s="182"/>
      <c r="BE22" s="182"/>
    </row>
    <row r="23" spans="1:76" s="151" customFormat="1" ht="14.1" customHeight="1">
      <c r="A23" s="172"/>
      <c r="B23" s="173" t="s">
        <v>58</v>
      </c>
      <c r="C23" s="174">
        <f>C12</f>
        <v>44012</v>
      </c>
      <c r="D23" s="174">
        <f t="shared" ref="D23:R23" si="15">D12</f>
        <v>44027</v>
      </c>
      <c r="E23" s="174">
        <f t="shared" si="15"/>
        <v>44043</v>
      </c>
      <c r="F23" s="174">
        <f t="shared" si="15"/>
        <v>44058</v>
      </c>
      <c r="G23" s="174">
        <f t="shared" si="15"/>
        <v>44074</v>
      </c>
      <c r="H23" s="174">
        <f t="shared" si="15"/>
        <v>44104</v>
      </c>
      <c r="I23" s="174">
        <f t="shared" si="15"/>
        <v>44135</v>
      </c>
      <c r="J23" s="174">
        <f t="shared" si="15"/>
        <v>44165</v>
      </c>
      <c r="K23" s="174">
        <f t="shared" si="15"/>
        <v>44196</v>
      </c>
      <c r="L23" s="174">
        <f t="shared" si="15"/>
        <v>44227</v>
      </c>
      <c r="M23" s="174">
        <f t="shared" si="15"/>
        <v>44255</v>
      </c>
      <c r="N23" s="174">
        <f t="shared" si="15"/>
        <v>44286</v>
      </c>
      <c r="O23" s="174">
        <f t="shared" si="15"/>
        <v>44316</v>
      </c>
      <c r="P23" s="174">
        <f t="shared" si="15"/>
        <v>44331</v>
      </c>
      <c r="Q23" s="174">
        <f t="shared" si="15"/>
        <v>44347</v>
      </c>
      <c r="R23" s="174">
        <f t="shared" si="15"/>
        <v>44362</v>
      </c>
      <c r="V23" s="151" t="s">
        <v>60</v>
      </c>
      <c r="W23" s="151" t="s">
        <v>63</v>
      </c>
      <c r="X23" s="151">
        <v>0</v>
      </c>
      <c r="Y23" s="151">
        <v>0</v>
      </c>
      <c r="Z23" s="151">
        <v>0</v>
      </c>
      <c r="AA23" s="151">
        <v>0</v>
      </c>
      <c r="AB23" s="151">
        <v>0.5</v>
      </c>
      <c r="AC23" s="151">
        <v>1.5</v>
      </c>
      <c r="AD23" s="151">
        <v>2.5</v>
      </c>
      <c r="AE23" s="151">
        <v>3.5</v>
      </c>
      <c r="AF23" s="151">
        <v>4.5</v>
      </c>
      <c r="AG23" s="151">
        <v>5.5</v>
      </c>
      <c r="AH23" s="151">
        <v>6.5</v>
      </c>
      <c r="AI23" s="151">
        <v>7.5</v>
      </c>
      <c r="AJ23" s="151">
        <v>8.5</v>
      </c>
      <c r="AK23" s="151">
        <v>9</v>
      </c>
      <c r="AL23" s="151">
        <v>9</v>
      </c>
      <c r="AM23" s="151">
        <v>9</v>
      </c>
      <c r="AN23" s="151" t="s">
        <v>60</v>
      </c>
      <c r="AO23" s="151" t="s">
        <v>74</v>
      </c>
      <c r="AP23" s="151">
        <f t="shared" ref="AP23:BE23" si="16">3-AP13</f>
        <v>0</v>
      </c>
      <c r="AQ23" s="151">
        <f t="shared" si="16"/>
        <v>0.5</v>
      </c>
      <c r="AR23" s="151">
        <f t="shared" si="16"/>
        <v>1</v>
      </c>
      <c r="AS23" s="151">
        <f t="shared" si="16"/>
        <v>1.5</v>
      </c>
      <c r="AT23" s="151">
        <f t="shared" si="16"/>
        <v>1.5</v>
      </c>
      <c r="AU23" s="151">
        <f t="shared" si="16"/>
        <v>1.5</v>
      </c>
      <c r="AV23" s="151">
        <f t="shared" si="16"/>
        <v>1.5</v>
      </c>
      <c r="AW23" s="151">
        <f t="shared" si="16"/>
        <v>1.5</v>
      </c>
      <c r="AX23" s="151">
        <f t="shared" si="16"/>
        <v>1.5</v>
      </c>
      <c r="AY23" s="151">
        <f t="shared" si="16"/>
        <v>1.5</v>
      </c>
      <c r="AZ23" s="151">
        <f t="shared" si="16"/>
        <v>1.5</v>
      </c>
      <c r="BA23" s="151">
        <f t="shared" si="16"/>
        <v>1.5</v>
      </c>
      <c r="BB23" s="151">
        <f t="shared" si="16"/>
        <v>1.5</v>
      </c>
      <c r="BC23" s="151">
        <f t="shared" si="16"/>
        <v>1.5</v>
      </c>
      <c r="BD23" s="151">
        <f t="shared" si="16"/>
        <v>2</v>
      </c>
      <c r="BE23" s="151">
        <f t="shared" si="16"/>
        <v>2.5</v>
      </c>
    </row>
    <row r="24" spans="1:76" s="151" customFormat="1" ht="14.1" customHeight="1">
      <c r="A24" s="163" t="s">
        <v>59</v>
      </c>
      <c r="B24" s="151">
        <v>12</v>
      </c>
      <c r="C24" s="151">
        <f>ROUND((($U$8*X$13)+($V$8*X$23)+($U$8*AP$13)+($V$8*AP$23)+($W$8*(3-(AP$13+AP$23)))+($W$8*(9-(X$13+X$23))))*$AO$11,0)</f>
        <v>26202</v>
      </c>
      <c r="D24" s="151">
        <f t="shared" ref="D24:R24" si="17">ROUND((($U$8*Y$13)+($V$8*Y$23)+($U$8*AQ$13)+($V$8*AQ$23)+($W$8*(3-(AQ$13+AQ$23)))+($W$8*(9-(Y$13+Y$23))))*$AO$11,0)</f>
        <v>26246</v>
      </c>
      <c r="E24" s="151">
        <f t="shared" si="17"/>
        <v>26290</v>
      </c>
      <c r="F24" s="151">
        <f t="shared" si="17"/>
        <v>26333</v>
      </c>
      <c r="G24" s="151">
        <f t="shared" si="17"/>
        <v>26377</v>
      </c>
      <c r="H24" s="151">
        <f t="shared" si="17"/>
        <v>26465</v>
      </c>
      <c r="I24" s="151">
        <f t="shared" si="17"/>
        <v>26552</v>
      </c>
      <c r="J24" s="151">
        <f t="shared" si="17"/>
        <v>26640</v>
      </c>
      <c r="K24" s="151">
        <f t="shared" si="17"/>
        <v>26727</v>
      </c>
      <c r="L24" s="151">
        <f t="shared" si="17"/>
        <v>26815</v>
      </c>
      <c r="M24" s="151">
        <f t="shared" si="17"/>
        <v>26902</v>
      </c>
      <c r="N24" s="151">
        <f t="shared" si="17"/>
        <v>26990</v>
      </c>
      <c r="O24" s="151">
        <f t="shared" si="17"/>
        <v>27077</v>
      </c>
      <c r="P24" s="151">
        <f t="shared" si="17"/>
        <v>27121</v>
      </c>
      <c r="Q24" s="151">
        <f t="shared" si="17"/>
        <v>27165</v>
      </c>
      <c r="R24" s="151">
        <f t="shared" si="17"/>
        <v>27208</v>
      </c>
      <c r="V24" s="151" t="s">
        <v>65</v>
      </c>
      <c r="W24" s="151" t="s">
        <v>67</v>
      </c>
      <c r="X24" s="151">
        <v>0</v>
      </c>
      <c r="Y24" s="151">
        <v>0</v>
      </c>
      <c r="Z24" s="151">
        <v>0</v>
      </c>
      <c r="AA24" s="151">
        <v>0</v>
      </c>
      <c r="AB24" s="151">
        <v>0.5</v>
      </c>
      <c r="AC24" s="151">
        <v>1.5</v>
      </c>
      <c r="AD24" s="151">
        <v>2.5</v>
      </c>
      <c r="AE24" s="151">
        <v>3.5</v>
      </c>
      <c r="AF24" s="151">
        <v>4.5</v>
      </c>
      <c r="AG24" s="151">
        <v>5.5</v>
      </c>
      <c r="AH24" s="151">
        <v>6.5</v>
      </c>
      <c r="AI24" s="151">
        <v>7.5</v>
      </c>
      <c r="AJ24" s="151">
        <v>8.5</v>
      </c>
      <c r="AK24" s="151">
        <v>9</v>
      </c>
      <c r="AL24" s="151">
        <v>9</v>
      </c>
      <c r="AM24" s="151">
        <v>9</v>
      </c>
      <c r="AN24" s="151" t="s">
        <v>65</v>
      </c>
      <c r="AO24" s="151" t="s">
        <v>74</v>
      </c>
      <c r="AP24" s="151">
        <f t="shared" ref="AP24:BE24" si="18">2-AP14</f>
        <v>0</v>
      </c>
      <c r="AQ24" s="151">
        <f t="shared" si="18"/>
        <v>0</v>
      </c>
      <c r="AR24" s="151">
        <f t="shared" si="18"/>
        <v>0</v>
      </c>
      <c r="AS24" s="151">
        <f t="shared" si="18"/>
        <v>0.5</v>
      </c>
      <c r="AT24" s="151">
        <f t="shared" si="18"/>
        <v>0.5</v>
      </c>
      <c r="AU24" s="151">
        <f t="shared" si="18"/>
        <v>0.5</v>
      </c>
      <c r="AV24" s="151">
        <f t="shared" si="18"/>
        <v>0.5</v>
      </c>
      <c r="AW24" s="151">
        <f t="shared" si="18"/>
        <v>0.5</v>
      </c>
      <c r="AX24" s="151">
        <f t="shared" si="18"/>
        <v>0.5</v>
      </c>
      <c r="AY24" s="151">
        <f t="shared" si="18"/>
        <v>0.5</v>
      </c>
      <c r="AZ24" s="151">
        <f t="shared" si="18"/>
        <v>0.5</v>
      </c>
      <c r="BA24" s="151">
        <f t="shared" si="18"/>
        <v>0.5</v>
      </c>
      <c r="BB24" s="151">
        <f t="shared" si="18"/>
        <v>0.5</v>
      </c>
      <c r="BC24" s="151">
        <f t="shared" si="18"/>
        <v>0.5</v>
      </c>
      <c r="BD24" s="151">
        <f t="shared" si="18"/>
        <v>1</v>
      </c>
      <c r="BE24" s="151">
        <f t="shared" si="18"/>
        <v>1.5</v>
      </c>
    </row>
    <row r="25" spans="1:76" s="151" customFormat="1" ht="14.1" customHeight="1">
      <c r="A25" s="163" t="s">
        <v>64</v>
      </c>
      <c r="B25" s="151">
        <v>11</v>
      </c>
      <c r="C25" s="151">
        <f>ROUND((($U$8*X$14)+($V$8*X$24)+($U$8*AP$14)+($V$8*AP$24)+($W$8*(2-(AP$14+AP$24)))+($W$8*(9-(X$14+X$24))))*$AO$11,0)</f>
        <v>24019</v>
      </c>
      <c r="D25" s="151">
        <f t="shared" ref="D25:R25" si="19">ROUND((($U$8*Y$14)+($V$8*Y$24)+($U$8*AQ$14)+($V$8*AQ$24)+($W$8*(2-(AQ$14+AQ$24)))+($W$8*(9-(Y$14+Y$24))))*$AO$11,0)</f>
        <v>24019</v>
      </c>
      <c r="E25" s="151">
        <f t="shared" si="19"/>
        <v>24019</v>
      </c>
      <c r="F25" s="151">
        <f t="shared" si="19"/>
        <v>24062</v>
      </c>
      <c r="G25" s="151">
        <f t="shared" si="19"/>
        <v>24106</v>
      </c>
      <c r="H25" s="151">
        <f t="shared" si="19"/>
        <v>24194</v>
      </c>
      <c r="I25" s="151">
        <f t="shared" si="19"/>
        <v>24281</v>
      </c>
      <c r="J25" s="151">
        <f t="shared" si="19"/>
        <v>24369</v>
      </c>
      <c r="K25" s="151">
        <f t="shared" si="19"/>
        <v>24456</v>
      </c>
      <c r="L25" s="151">
        <f t="shared" si="19"/>
        <v>24544</v>
      </c>
      <c r="M25" s="151">
        <f t="shared" si="19"/>
        <v>24631</v>
      </c>
      <c r="N25" s="151">
        <f t="shared" si="19"/>
        <v>24719</v>
      </c>
      <c r="O25" s="151">
        <f t="shared" si="19"/>
        <v>24806</v>
      </c>
      <c r="P25" s="151">
        <f t="shared" si="19"/>
        <v>24850</v>
      </c>
      <c r="Q25" s="151">
        <f t="shared" si="19"/>
        <v>24894</v>
      </c>
      <c r="R25" s="151">
        <f t="shared" si="19"/>
        <v>24937</v>
      </c>
      <c r="V25" s="151" t="s">
        <v>69</v>
      </c>
      <c r="W25" s="151" t="s">
        <v>67</v>
      </c>
      <c r="X25" s="151">
        <v>0</v>
      </c>
      <c r="Y25" s="151">
        <v>0</v>
      </c>
      <c r="Z25" s="151">
        <v>0</v>
      </c>
      <c r="AA25" s="151">
        <v>0</v>
      </c>
      <c r="AB25" s="151">
        <v>0.5</v>
      </c>
      <c r="AC25" s="151">
        <v>1.5</v>
      </c>
      <c r="AD25" s="151">
        <v>2.5</v>
      </c>
      <c r="AE25" s="151">
        <v>3.5</v>
      </c>
      <c r="AF25" s="151">
        <v>4.5</v>
      </c>
      <c r="AG25" s="151">
        <v>5.5</v>
      </c>
      <c r="AH25" s="151">
        <v>6.5</v>
      </c>
      <c r="AI25" s="151">
        <v>7.5</v>
      </c>
      <c r="AJ25" s="151">
        <v>8.5</v>
      </c>
      <c r="AK25" s="151">
        <v>9</v>
      </c>
      <c r="AL25" s="151">
        <v>9</v>
      </c>
      <c r="AM25" s="151">
        <v>9</v>
      </c>
      <c r="AN25" s="151" t="s">
        <v>69</v>
      </c>
      <c r="AO25" s="151" t="s">
        <v>74</v>
      </c>
      <c r="AP25" s="151">
        <f t="shared" ref="AP25:BE25" si="20">1-AP15</f>
        <v>0</v>
      </c>
      <c r="AQ25" s="151">
        <f t="shared" si="20"/>
        <v>0</v>
      </c>
      <c r="AR25" s="151">
        <f t="shared" si="20"/>
        <v>0</v>
      </c>
      <c r="AS25" s="151">
        <f t="shared" si="20"/>
        <v>0</v>
      </c>
      <c r="AT25" s="151">
        <f t="shared" si="20"/>
        <v>0</v>
      </c>
      <c r="AU25" s="151">
        <f t="shared" si="20"/>
        <v>0</v>
      </c>
      <c r="AV25" s="151">
        <f t="shared" si="20"/>
        <v>0</v>
      </c>
      <c r="AW25" s="151">
        <f t="shared" si="20"/>
        <v>0</v>
      </c>
      <c r="AX25" s="151">
        <f t="shared" si="20"/>
        <v>0</v>
      </c>
      <c r="AY25" s="151">
        <f t="shared" si="20"/>
        <v>0</v>
      </c>
      <c r="AZ25" s="151">
        <f t="shared" si="20"/>
        <v>0</v>
      </c>
      <c r="BA25" s="151">
        <f t="shared" si="20"/>
        <v>0</v>
      </c>
      <c r="BB25" s="151">
        <f t="shared" si="20"/>
        <v>0</v>
      </c>
      <c r="BC25" s="151">
        <f t="shared" si="20"/>
        <v>0</v>
      </c>
      <c r="BD25" s="151">
        <f t="shared" si="20"/>
        <v>0</v>
      </c>
      <c r="BE25" s="151">
        <f t="shared" si="20"/>
        <v>0.5</v>
      </c>
    </row>
    <row r="26" spans="1:76" s="151" customFormat="1" ht="14.1" customHeight="1">
      <c r="A26" s="163" t="s">
        <v>68</v>
      </c>
      <c r="B26" s="151">
        <v>10</v>
      </c>
      <c r="C26" s="151">
        <f>ROUND((($U$8*X$15)+($V$8*X$25)+($U$8*AP$15)+($V$8*AP$25)+($W$8*(1-(AP$15+AP$25)))+($W$8*(9-(X$15+X$25))))*$AO$11,0)</f>
        <v>21835</v>
      </c>
      <c r="D26" s="151">
        <f t="shared" ref="D26:R26" si="21">ROUND((($U$8*Y$15)+($V$8*Y$25)+($U$8*AQ$15)+($V$8*AQ$25)+($W$8*(1-(AQ$15+AQ$25)))+($W$8*(9-(Y$15+Y$25))))*$AO$11,0)</f>
        <v>21835</v>
      </c>
      <c r="E26" s="151">
        <f t="shared" si="21"/>
        <v>21835</v>
      </c>
      <c r="F26" s="151">
        <f t="shared" si="21"/>
        <v>21835</v>
      </c>
      <c r="G26" s="151">
        <f t="shared" si="21"/>
        <v>21879</v>
      </c>
      <c r="H26" s="151">
        <f t="shared" si="21"/>
        <v>21966</v>
      </c>
      <c r="I26" s="151">
        <f t="shared" si="21"/>
        <v>22054</v>
      </c>
      <c r="J26" s="151">
        <f t="shared" si="21"/>
        <v>22141</v>
      </c>
      <c r="K26" s="151">
        <f t="shared" si="21"/>
        <v>22229</v>
      </c>
      <c r="L26" s="151">
        <f t="shared" si="21"/>
        <v>22316</v>
      </c>
      <c r="M26" s="151">
        <f t="shared" si="21"/>
        <v>22404</v>
      </c>
      <c r="N26" s="151">
        <f t="shared" si="21"/>
        <v>22491</v>
      </c>
      <c r="O26" s="151">
        <f t="shared" si="21"/>
        <v>22579</v>
      </c>
      <c r="P26" s="151">
        <f t="shared" si="21"/>
        <v>22623</v>
      </c>
      <c r="Q26" s="151">
        <f t="shared" si="21"/>
        <v>22623</v>
      </c>
      <c r="R26" s="151">
        <f t="shared" si="21"/>
        <v>22666</v>
      </c>
      <c r="V26" s="151" t="s">
        <v>71</v>
      </c>
      <c r="W26" s="151" t="s">
        <v>67</v>
      </c>
      <c r="X26" s="151">
        <v>0</v>
      </c>
      <c r="Y26" s="151">
        <v>0</v>
      </c>
      <c r="Z26" s="151">
        <v>0</v>
      </c>
      <c r="AA26" s="151">
        <v>0</v>
      </c>
      <c r="AB26" s="151">
        <v>0.5</v>
      </c>
      <c r="AC26" s="151">
        <v>1.5</v>
      </c>
      <c r="AD26" s="151">
        <v>2.5</v>
      </c>
      <c r="AE26" s="151">
        <v>3.5</v>
      </c>
      <c r="AF26" s="151">
        <v>4.5</v>
      </c>
      <c r="AG26" s="151">
        <v>5.5</v>
      </c>
      <c r="AH26" s="151">
        <v>6.5</v>
      </c>
      <c r="AI26" s="151">
        <v>7.5</v>
      </c>
      <c r="AJ26" s="151">
        <v>8.5</v>
      </c>
      <c r="AK26" s="151">
        <v>9</v>
      </c>
      <c r="AL26" s="151">
        <v>9</v>
      </c>
      <c r="AM26" s="151">
        <v>9</v>
      </c>
      <c r="AN26" s="151" t="s">
        <v>71</v>
      </c>
      <c r="AO26" s="151" t="s">
        <v>74</v>
      </c>
      <c r="AP26" s="151">
        <v>0</v>
      </c>
      <c r="AQ26" s="151">
        <v>0</v>
      </c>
      <c r="AR26" s="151">
        <v>0</v>
      </c>
      <c r="AS26" s="151">
        <v>0</v>
      </c>
      <c r="AT26" s="151">
        <v>0</v>
      </c>
      <c r="AU26" s="151">
        <v>0</v>
      </c>
      <c r="AV26" s="151">
        <v>0</v>
      </c>
      <c r="AW26" s="151">
        <v>0</v>
      </c>
      <c r="AX26" s="151">
        <v>0</v>
      </c>
      <c r="AY26" s="151">
        <v>0</v>
      </c>
      <c r="AZ26" s="151">
        <v>0</v>
      </c>
      <c r="BA26" s="151">
        <v>0</v>
      </c>
      <c r="BB26" s="151">
        <v>0</v>
      </c>
      <c r="BC26" s="151">
        <v>0</v>
      </c>
      <c r="BD26" s="151">
        <v>0</v>
      </c>
      <c r="BE26" s="151">
        <v>0</v>
      </c>
    </row>
    <row r="27" spans="1:76" s="151" customFormat="1" ht="14.1" customHeight="1">
      <c r="A27" s="163" t="s">
        <v>70</v>
      </c>
      <c r="B27" s="151">
        <v>9</v>
      </c>
      <c r="C27" s="151">
        <f>ROUND((($U$8*X$16)+($V$8*X$26)+($U$8*AP$16)+($V$8*AP$26)+($W$8*(0-(AP$16+AP$26)))+($W$8*(9-(X$16+X$26))))*$AO$11,0)</f>
        <v>19652</v>
      </c>
      <c r="D27" s="151">
        <f t="shared" ref="D27:R27" si="22">ROUND((($U$8*Y$16)+($V$8*Y$26)+($U$8*AQ$16)+($V$8*AQ$26)+($W$8*(0-(AQ$16+AQ$26)))+($W$8*(9-(Y$16+Y$26))))*$AO$11,0)</f>
        <v>19652</v>
      </c>
      <c r="E27" s="151">
        <f t="shared" si="22"/>
        <v>19652</v>
      </c>
      <c r="F27" s="151">
        <f t="shared" si="22"/>
        <v>19652</v>
      </c>
      <c r="G27" s="151">
        <f t="shared" si="22"/>
        <v>19695</v>
      </c>
      <c r="H27" s="151">
        <f t="shared" si="22"/>
        <v>19783</v>
      </c>
      <c r="I27" s="151">
        <f t="shared" si="22"/>
        <v>19870</v>
      </c>
      <c r="J27" s="151">
        <f t="shared" si="22"/>
        <v>19958</v>
      </c>
      <c r="K27" s="151">
        <f t="shared" si="22"/>
        <v>20045</v>
      </c>
      <c r="L27" s="151">
        <f t="shared" si="22"/>
        <v>20133</v>
      </c>
      <c r="M27" s="151">
        <f t="shared" si="22"/>
        <v>20220</v>
      </c>
      <c r="N27" s="151">
        <f t="shared" si="22"/>
        <v>20308</v>
      </c>
      <c r="O27" s="151">
        <f t="shared" si="22"/>
        <v>20395</v>
      </c>
      <c r="P27" s="151">
        <f t="shared" si="22"/>
        <v>20439</v>
      </c>
      <c r="Q27" s="151">
        <f t="shared" si="22"/>
        <v>20439</v>
      </c>
      <c r="R27" s="151">
        <f t="shared" si="22"/>
        <v>20439</v>
      </c>
      <c r="V27" s="151" t="s">
        <v>73</v>
      </c>
      <c r="W27" s="151" t="s">
        <v>74</v>
      </c>
      <c r="X27" s="151">
        <v>0</v>
      </c>
      <c r="Y27" s="151">
        <v>0</v>
      </c>
      <c r="Z27" s="151">
        <v>0</v>
      </c>
      <c r="AA27" s="151">
        <v>0</v>
      </c>
      <c r="AB27" s="151">
        <v>0</v>
      </c>
      <c r="AC27" s="151">
        <v>0</v>
      </c>
      <c r="AD27" s="151">
        <v>0</v>
      </c>
      <c r="AE27" s="151">
        <v>0</v>
      </c>
      <c r="AF27" s="151">
        <v>0</v>
      </c>
      <c r="AG27" s="151">
        <v>0</v>
      </c>
      <c r="AH27" s="151">
        <v>0</v>
      </c>
      <c r="AI27" s="151">
        <v>0</v>
      </c>
      <c r="AJ27" s="151">
        <v>0</v>
      </c>
      <c r="AK27" s="151">
        <v>0</v>
      </c>
      <c r="AL27" s="151">
        <v>0</v>
      </c>
      <c r="AM27" s="151">
        <v>0</v>
      </c>
      <c r="AN27" s="151" t="s">
        <v>73</v>
      </c>
      <c r="AO27" s="151" t="s">
        <v>74</v>
      </c>
      <c r="AP27" s="151">
        <f t="shared" ref="AP27:BE27" si="23">3-AP17</f>
        <v>0</v>
      </c>
      <c r="AQ27" s="151">
        <f t="shared" si="23"/>
        <v>0.5</v>
      </c>
      <c r="AR27" s="151">
        <f t="shared" si="23"/>
        <v>1</v>
      </c>
      <c r="AS27" s="151">
        <f t="shared" si="23"/>
        <v>1.5</v>
      </c>
      <c r="AT27" s="151">
        <f t="shared" si="23"/>
        <v>1.5</v>
      </c>
      <c r="AU27" s="151">
        <f t="shared" si="23"/>
        <v>1.5</v>
      </c>
      <c r="AV27" s="151">
        <f t="shared" si="23"/>
        <v>1.5</v>
      </c>
      <c r="AW27" s="151">
        <f t="shared" si="23"/>
        <v>1.5</v>
      </c>
      <c r="AX27" s="151">
        <f t="shared" si="23"/>
        <v>1.5</v>
      </c>
      <c r="AY27" s="151">
        <f t="shared" si="23"/>
        <v>1.5</v>
      </c>
      <c r="AZ27" s="151">
        <f t="shared" si="23"/>
        <v>1.5</v>
      </c>
      <c r="BA27" s="151">
        <f t="shared" si="23"/>
        <v>1.5</v>
      </c>
      <c r="BB27" s="151">
        <f t="shared" si="23"/>
        <v>1.5</v>
      </c>
      <c r="BC27" s="151">
        <f t="shared" si="23"/>
        <v>1.5</v>
      </c>
      <c r="BD27" s="151">
        <f t="shared" si="23"/>
        <v>2</v>
      </c>
      <c r="BE27" s="151">
        <f t="shared" si="23"/>
        <v>2.5</v>
      </c>
    </row>
    <row r="28" spans="1:76" s="151" customFormat="1" ht="14.1" customHeight="1">
      <c r="A28" s="163" t="s">
        <v>72</v>
      </c>
      <c r="B28" s="151">
        <v>3</v>
      </c>
      <c r="C28" s="151">
        <f>ROUND((($U$8*X$17)+($V$8*X$27)+($U$8*AP$17)+($V$8*AP$27)+($W$8*(3-(AP$17+AP$27)))+($W$8*(0-(X$17+X$27))))*$AO$11,0)</f>
        <v>6551</v>
      </c>
      <c r="D28" s="151">
        <f t="shared" ref="D28:R28" si="24">ROUND((($U$8*Y$17)+($V$8*Y$27)+($U$8*AQ$17)+($V$8*AQ$27)+($W$8*(3-(AQ$17+AQ$27)))+($W$8*(0-(Y$17+Y$27))))*$AO$11,0)</f>
        <v>6594</v>
      </c>
      <c r="E28" s="151">
        <f t="shared" si="24"/>
        <v>6638</v>
      </c>
      <c r="F28" s="151">
        <f t="shared" si="24"/>
        <v>6682</v>
      </c>
      <c r="G28" s="151">
        <f t="shared" si="24"/>
        <v>6682</v>
      </c>
      <c r="H28" s="151">
        <f t="shared" si="24"/>
        <v>6682</v>
      </c>
      <c r="I28" s="151">
        <f t="shared" si="24"/>
        <v>6682</v>
      </c>
      <c r="J28" s="151">
        <f t="shared" si="24"/>
        <v>6682</v>
      </c>
      <c r="K28" s="151">
        <f t="shared" si="24"/>
        <v>6682</v>
      </c>
      <c r="L28" s="151">
        <f t="shared" si="24"/>
        <v>6682</v>
      </c>
      <c r="M28" s="151">
        <f t="shared" si="24"/>
        <v>6682</v>
      </c>
      <c r="N28" s="151">
        <f t="shared" si="24"/>
        <v>6682</v>
      </c>
      <c r="O28" s="151">
        <f t="shared" si="24"/>
        <v>6682</v>
      </c>
      <c r="P28" s="151">
        <f t="shared" si="24"/>
        <v>6682</v>
      </c>
      <c r="Q28" s="151">
        <f t="shared" si="24"/>
        <v>6726</v>
      </c>
      <c r="R28" s="151">
        <f t="shared" si="24"/>
        <v>6769</v>
      </c>
      <c r="V28" s="151" t="s">
        <v>76</v>
      </c>
      <c r="W28" s="151" t="s">
        <v>74</v>
      </c>
      <c r="X28" s="151">
        <v>0</v>
      </c>
      <c r="Y28" s="151">
        <v>0</v>
      </c>
      <c r="Z28" s="151">
        <v>0</v>
      </c>
      <c r="AA28" s="151">
        <v>0</v>
      </c>
      <c r="AB28" s="151">
        <v>0</v>
      </c>
      <c r="AC28" s="151">
        <v>0</v>
      </c>
      <c r="AD28" s="151">
        <v>0</v>
      </c>
      <c r="AE28" s="151">
        <v>0</v>
      </c>
      <c r="AF28" s="151">
        <v>0</v>
      </c>
      <c r="AG28" s="151">
        <v>0</v>
      </c>
      <c r="AH28" s="151">
        <v>0</v>
      </c>
      <c r="AI28" s="151">
        <v>0</v>
      </c>
      <c r="AJ28" s="151">
        <v>0</v>
      </c>
      <c r="AK28" s="151">
        <v>0</v>
      </c>
      <c r="AL28" s="151">
        <v>0</v>
      </c>
      <c r="AM28" s="151">
        <v>0</v>
      </c>
      <c r="AN28" s="151" t="s">
        <v>76</v>
      </c>
      <c r="AO28" s="151" t="s">
        <v>74</v>
      </c>
      <c r="AP28" s="151">
        <f t="shared" ref="AP28:BE28" si="25">2-AP18</f>
        <v>0</v>
      </c>
      <c r="AQ28" s="151">
        <f t="shared" si="25"/>
        <v>0</v>
      </c>
      <c r="AR28" s="151">
        <f t="shared" si="25"/>
        <v>0</v>
      </c>
      <c r="AS28" s="151">
        <f t="shared" si="25"/>
        <v>0.5</v>
      </c>
      <c r="AT28" s="151">
        <f t="shared" si="25"/>
        <v>0.5</v>
      </c>
      <c r="AU28" s="151">
        <f t="shared" si="25"/>
        <v>0.5</v>
      </c>
      <c r="AV28" s="151">
        <f t="shared" si="25"/>
        <v>0.5</v>
      </c>
      <c r="AW28" s="151">
        <f t="shared" si="25"/>
        <v>0.5</v>
      </c>
      <c r="AX28" s="151">
        <f t="shared" si="25"/>
        <v>0.5</v>
      </c>
      <c r="AY28" s="151">
        <f t="shared" si="25"/>
        <v>0.5</v>
      </c>
      <c r="AZ28" s="151">
        <f t="shared" si="25"/>
        <v>0.5</v>
      </c>
      <c r="BA28" s="151">
        <f t="shared" si="25"/>
        <v>0.5</v>
      </c>
      <c r="BB28" s="151">
        <f t="shared" si="25"/>
        <v>0.5</v>
      </c>
      <c r="BC28" s="151">
        <f t="shared" si="25"/>
        <v>0.5</v>
      </c>
      <c r="BD28" s="151">
        <f t="shared" si="25"/>
        <v>1</v>
      </c>
      <c r="BE28" s="151">
        <f t="shared" si="25"/>
        <v>1.5</v>
      </c>
    </row>
    <row r="29" spans="1:76" s="151" customFormat="1" ht="14.1" customHeight="1">
      <c r="A29" s="163" t="s">
        <v>75</v>
      </c>
      <c r="B29" s="151">
        <v>2</v>
      </c>
      <c r="C29" s="151">
        <f>ROUND((($U$8*X$18)+($V$8*X$28)+($U$8*AP$18)+($V$8*AP$28)+($W$8*(2-(AP$18+AP$28)))+($W$8*(0-(X$18+X$28))))*$AO$11,0)</f>
        <v>4367</v>
      </c>
      <c r="D29" s="151">
        <f t="shared" ref="D29:R29" si="26">ROUND((($U$8*Y$18)+($V$8*Y$28)+($U$8*AQ$18)+($V$8*AQ$28)+($W$8*(2-(AQ$18+AQ$28)))+($W$8*(0-(Y$18+Y$28))))*$AO$11,0)</f>
        <v>4367</v>
      </c>
      <c r="E29" s="151">
        <f t="shared" si="26"/>
        <v>4367</v>
      </c>
      <c r="F29" s="151">
        <f t="shared" si="26"/>
        <v>4411</v>
      </c>
      <c r="G29" s="151">
        <f t="shared" si="26"/>
        <v>4411</v>
      </c>
      <c r="H29" s="151">
        <f t="shared" si="26"/>
        <v>4411</v>
      </c>
      <c r="I29" s="151">
        <f t="shared" si="26"/>
        <v>4411</v>
      </c>
      <c r="J29" s="151">
        <f t="shared" si="26"/>
        <v>4411</v>
      </c>
      <c r="K29" s="151">
        <f t="shared" si="26"/>
        <v>4411</v>
      </c>
      <c r="L29" s="151">
        <f t="shared" si="26"/>
        <v>4411</v>
      </c>
      <c r="M29" s="151">
        <f t="shared" si="26"/>
        <v>4411</v>
      </c>
      <c r="N29" s="151">
        <f t="shared" si="26"/>
        <v>4411</v>
      </c>
      <c r="O29" s="151">
        <f t="shared" si="26"/>
        <v>4411</v>
      </c>
      <c r="P29" s="151">
        <f t="shared" si="26"/>
        <v>4411</v>
      </c>
      <c r="Q29" s="151">
        <f t="shared" si="26"/>
        <v>4455</v>
      </c>
      <c r="R29" s="151">
        <f t="shared" si="26"/>
        <v>4498</v>
      </c>
      <c r="V29" s="151" t="s">
        <v>78</v>
      </c>
      <c r="W29" s="151" t="s">
        <v>74</v>
      </c>
      <c r="X29" s="151">
        <v>0</v>
      </c>
      <c r="Y29" s="151">
        <v>0</v>
      </c>
      <c r="Z29" s="151">
        <v>0</v>
      </c>
      <c r="AA29" s="151">
        <v>0</v>
      </c>
      <c r="AB29" s="151">
        <v>0</v>
      </c>
      <c r="AC29" s="151">
        <v>0</v>
      </c>
      <c r="AD29" s="151">
        <v>0</v>
      </c>
      <c r="AE29" s="151">
        <v>0</v>
      </c>
      <c r="AF29" s="151">
        <v>0</v>
      </c>
      <c r="AG29" s="151">
        <v>0</v>
      </c>
      <c r="AH29" s="151">
        <v>0</v>
      </c>
      <c r="AI29" s="151">
        <v>0</v>
      </c>
      <c r="AJ29" s="151">
        <v>0</v>
      </c>
      <c r="AK29" s="151">
        <v>0</v>
      </c>
      <c r="AL29" s="151">
        <v>0</v>
      </c>
      <c r="AM29" s="151">
        <v>0</v>
      </c>
      <c r="AN29" s="151" t="s">
        <v>78</v>
      </c>
      <c r="AO29" s="151" t="s">
        <v>74</v>
      </c>
      <c r="AP29" s="151">
        <f t="shared" ref="AP29:BE29" si="27">1-AP19</f>
        <v>0</v>
      </c>
      <c r="AQ29" s="151">
        <f t="shared" si="27"/>
        <v>0</v>
      </c>
      <c r="AR29" s="151">
        <f t="shared" si="27"/>
        <v>0</v>
      </c>
      <c r="AS29" s="151">
        <f t="shared" si="27"/>
        <v>0</v>
      </c>
      <c r="AT29" s="151">
        <f t="shared" si="27"/>
        <v>0</v>
      </c>
      <c r="AU29" s="151">
        <f t="shared" si="27"/>
        <v>0</v>
      </c>
      <c r="AV29" s="151">
        <f t="shared" si="27"/>
        <v>0</v>
      </c>
      <c r="AW29" s="151">
        <f t="shared" si="27"/>
        <v>0</v>
      </c>
      <c r="AX29" s="151">
        <f t="shared" si="27"/>
        <v>0</v>
      </c>
      <c r="AY29" s="151">
        <f t="shared" si="27"/>
        <v>0</v>
      </c>
      <c r="AZ29" s="151">
        <f t="shared" si="27"/>
        <v>0</v>
      </c>
      <c r="BA29" s="151">
        <f t="shared" si="27"/>
        <v>0</v>
      </c>
      <c r="BB29" s="151">
        <f t="shared" si="27"/>
        <v>0</v>
      </c>
      <c r="BC29" s="151">
        <f t="shared" si="27"/>
        <v>0</v>
      </c>
      <c r="BD29" s="151">
        <f t="shared" si="27"/>
        <v>0</v>
      </c>
      <c r="BE29" s="151">
        <f t="shared" si="27"/>
        <v>0.5</v>
      </c>
    </row>
    <row r="30" spans="1:76" s="151" customFormat="1" ht="14.1" customHeight="1">
      <c r="A30" s="163" t="s">
        <v>77</v>
      </c>
      <c r="B30" s="151">
        <v>1</v>
      </c>
      <c r="C30" s="151">
        <f>ROUND((($U$8*X$19)+($V$8*X$29)+($U$8*AP$19)+($V$8*AP$29)+($W$8*(1-(AP$19+AP$29)))+($W$8*(0-(X$19+X$29))))*$AO$11,0)</f>
        <v>2184</v>
      </c>
      <c r="D30" s="151">
        <f>ROUND((($U$8*Y$19)+($V$8*Y$29)+($U$8*AQ$19)+($V$8*AQ$29)+($W$8*(1-(AQ$19+AQ$29)))+($W$8*(0-(Y$19+Y$29))))*$AO$11,0)</f>
        <v>2184</v>
      </c>
      <c r="E30" s="151">
        <f>ROUND((($U$8*Z$19)+($V$8*Z$29)+($U$8*AR$19)+($V$8*AR$29)+($W$8*(1-(AR$19+AR$29)))+($W$8*(0-(Z$19+Z$29))))*$AO$11,0)</f>
        <v>2184</v>
      </c>
      <c r="F30" s="151">
        <f>ROUND((($U$8*AA$19)+($V$8*AA$29)+($U$8*AS$19)+($V$8*AS$29)+($W$8*(1-(AS$19+AS$29)))+($W$8*(0-(AA$19+AA$29))))*$AO$11,0)</f>
        <v>2184</v>
      </c>
      <c r="G30" s="151">
        <f>ROUND((($U$8*AB$19)+($V$8*AB$29)+($U$8*AT$19)+($V$8*AT$29)+($W$8*(1-(AT$19+AT$29)))+($W$8*(0-(AB$19+AB$29))))*$AO$11,0)</f>
        <v>2184</v>
      </c>
      <c r="H30" s="151">
        <f t="shared" ref="H30:R30" si="28">ROUND((($U$8*AC$19)+($V$8*AC$29)+($U$8*AU$19)+($V$8*AU$29)+($W$8*(1-(AU$19+AU$29)))+($W$8*(0-(AC$19+AC$29))))*$AO$11,0)</f>
        <v>2184</v>
      </c>
      <c r="I30" s="151">
        <f t="shared" si="28"/>
        <v>2184</v>
      </c>
      <c r="J30" s="151">
        <f t="shared" si="28"/>
        <v>2184</v>
      </c>
      <c r="K30" s="151">
        <f t="shared" si="28"/>
        <v>2184</v>
      </c>
      <c r="L30" s="151">
        <f t="shared" si="28"/>
        <v>2184</v>
      </c>
      <c r="M30" s="151">
        <f t="shared" si="28"/>
        <v>2184</v>
      </c>
      <c r="N30" s="151">
        <f t="shared" si="28"/>
        <v>2184</v>
      </c>
      <c r="O30" s="151">
        <f t="shared" si="28"/>
        <v>2184</v>
      </c>
      <c r="P30" s="151">
        <f t="shared" si="28"/>
        <v>2184</v>
      </c>
      <c r="Q30" s="151">
        <f t="shared" si="28"/>
        <v>2184</v>
      </c>
      <c r="R30" s="151">
        <f t="shared" si="28"/>
        <v>2227</v>
      </c>
    </row>
    <row r="31" spans="1:76" s="151" customFormat="1" ht="14.1" customHeight="1">
      <c r="A31" s="163"/>
    </row>
    <row r="32" spans="1:76" s="151" customFormat="1" ht="14.1" customHeight="1">
      <c r="A32" s="149" t="s">
        <v>341</v>
      </c>
      <c r="B32" s="164"/>
      <c r="C32" s="165"/>
      <c r="D32" s="165"/>
      <c r="E32" s="165"/>
      <c r="F32" s="165"/>
      <c r="G32" s="165"/>
      <c r="H32" s="165"/>
      <c r="I32" s="165"/>
      <c r="J32" s="165"/>
      <c r="K32" s="165"/>
      <c r="L32" s="165"/>
      <c r="M32" s="165"/>
      <c r="N32" s="165"/>
      <c r="O32" s="165"/>
      <c r="P32" s="165"/>
      <c r="Q32" s="165"/>
      <c r="R32" s="165"/>
      <c r="V32" s="167" t="s">
        <v>53</v>
      </c>
      <c r="W32" s="168">
        <f>+W11</f>
        <v>0.5</v>
      </c>
      <c r="AN32" s="181"/>
      <c r="AO32" s="178"/>
      <c r="AP32" s="181">
        <f t="shared" ref="AP32:BE32" si="29">+X33</f>
        <v>44012</v>
      </c>
      <c r="AQ32" s="181">
        <f t="shared" si="29"/>
        <v>44027</v>
      </c>
      <c r="AR32" s="181">
        <f t="shared" si="29"/>
        <v>44043</v>
      </c>
      <c r="AS32" s="181">
        <f t="shared" si="29"/>
        <v>44058</v>
      </c>
      <c r="AT32" s="181">
        <f t="shared" si="29"/>
        <v>44074</v>
      </c>
      <c r="AU32" s="181">
        <f t="shared" si="29"/>
        <v>44104</v>
      </c>
      <c r="AV32" s="181">
        <f t="shared" si="29"/>
        <v>44135</v>
      </c>
      <c r="AW32" s="181">
        <f t="shared" si="29"/>
        <v>44165</v>
      </c>
      <c r="AX32" s="181">
        <f t="shared" si="29"/>
        <v>44196</v>
      </c>
      <c r="AY32" s="181">
        <f t="shared" si="29"/>
        <v>44227</v>
      </c>
      <c r="AZ32" s="181">
        <f t="shared" si="29"/>
        <v>44255</v>
      </c>
      <c r="BA32" s="181">
        <f t="shared" si="29"/>
        <v>44286</v>
      </c>
      <c r="BB32" s="181">
        <f t="shared" si="29"/>
        <v>44316</v>
      </c>
      <c r="BC32" s="181">
        <f t="shared" si="29"/>
        <v>44331</v>
      </c>
      <c r="BD32" s="181">
        <f t="shared" si="29"/>
        <v>44347</v>
      </c>
      <c r="BE32" s="181">
        <f t="shared" si="29"/>
        <v>44362</v>
      </c>
    </row>
    <row r="33" spans="1:99" s="151" customFormat="1" ht="14.1" customHeight="1">
      <c r="A33" s="111"/>
      <c r="B33" s="166" t="s">
        <v>54</v>
      </c>
      <c r="C33" s="165"/>
      <c r="D33" s="165"/>
      <c r="E33" s="165"/>
      <c r="F33" s="165"/>
      <c r="G33" s="165"/>
      <c r="H33" s="165"/>
      <c r="I33" s="165"/>
      <c r="J33" s="165"/>
      <c r="K33" s="165"/>
      <c r="L33" s="165"/>
      <c r="M33" s="165"/>
      <c r="N33" s="165"/>
      <c r="O33" s="165"/>
      <c r="P33" s="165"/>
      <c r="Q33" s="165"/>
      <c r="R33" s="165"/>
      <c r="V33" s="175" t="s">
        <v>79</v>
      </c>
      <c r="W33" s="176"/>
      <c r="X33" s="181">
        <f t="shared" ref="X33:AM33" si="30">+C45</f>
        <v>44012</v>
      </c>
      <c r="Y33" s="181">
        <f t="shared" si="30"/>
        <v>44027</v>
      </c>
      <c r="Z33" s="181">
        <f t="shared" si="30"/>
        <v>44043</v>
      </c>
      <c r="AA33" s="181">
        <f t="shared" si="30"/>
        <v>44058</v>
      </c>
      <c r="AB33" s="181">
        <f t="shared" si="30"/>
        <v>44074</v>
      </c>
      <c r="AC33" s="181">
        <f t="shared" si="30"/>
        <v>44104</v>
      </c>
      <c r="AD33" s="181">
        <f t="shared" si="30"/>
        <v>44135</v>
      </c>
      <c r="AE33" s="181">
        <f t="shared" si="30"/>
        <v>44165</v>
      </c>
      <c r="AF33" s="181">
        <f t="shared" si="30"/>
        <v>44196</v>
      </c>
      <c r="AG33" s="181">
        <f t="shared" si="30"/>
        <v>44227</v>
      </c>
      <c r="AH33" s="181">
        <f t="shared" si="30"/>
        <v>44255</v>
      </c>
      <c r="AI33" s="181">
        <f t="shared" si="30"/>
        <v>44286</v>
      </c>
      <c r="AJ33" s="181">
        <f t="shared" si="30"/>
        <v>44316</v>
      </c>
      <c r="AK33" s="181">
        <f t="shared" si="30"/>
        <v>44331</v>
      </c>
      <c r="AL33" s="181">
        <f t="shared" si="30"/>
        <v>44347</v>
      </c>
      <c r="AM33" s="181">
        <f t="shared" si="30"/>
        <v>44362</v>
      </c>
      <c r="AN33" s="182"/>
      <c r="AP33" s="182"/>
      <c r="AQ33" s="182"/>
      <c r="AR33" s="182"/>
      <c r="AS33" s="182"/>
      <c r="AT33" s="182"/>
      <c r="AU33" s="182"/>
      <c r="AV33" s="182"/>
      <c r="AW33" s="182"/>
      <c r="AX33" s="182"/>
      <c r="AY33" s="182"/>
      <c r="AZ33" s="182"/>
      <c r="BA33" s="182"/>
      <c r="BB33" s="182"/>
      <c r="BC33" s="182"/>
      <c r="BD33" s="182"/>
      <c r="BE33" s="182"/>
    </row>
    <row r="34" spans="1:99" s="151" customFormat="1" ht="14.1" customHeight="1">
      <c r="A34" s="172"/>
      <c r="B34" s="173" t="s">
        <v>58</v>
      </c>
      <c r="C34" s="174">
        <f>C12</f>
        <v>44012</v>
      </c>
      <c r="D34" s="174">
        <f t="shared" ref="D34:R34" si="31">D12</f>
        <v>44027</v>
      </c>
      <c r="E34" s="174">
        <f t="shared" si="31"/>
        <v>44043</v>
      </c>
      <c r="F34" s="174">
        <f t="shared" si="31"/>
        <v>44058</v>
      </c>
      <c r="G34" s="174">
        <f t="shared" si="31"/>
        <v>44074</v>
      </c>
      <c r="H34" s="174">
        <f t="shared" si="31"/>
        <v>44104</v>
      </c>
      <c r="I34" s="174">
        <f t="shared" si="31"/>
        <v>44135</v>
      </c>
      <c r="J34" s="174">
        <f t="shared" si="31"/>
        <v>44165</v>
      </c>
      <c r="K34" s="174">
        <f t="shared" si="31"/>
        <v>44196</v>
      </c>
      <c r="L34" s="174">
        <f t="shared" si="31"/>
        <v>44227</v>
      </c>
      <c r="M34" s="174">
        <f t="shared" si="31"/>
        <v>44255</v>
      </c>
      <c r="N34" s="174">
        <f t="shared" si="31"/>
        <v>44286</v>
      </c>
      <c r="O34" s="174">
        <f t="shared" si="31"/>
        <v>44316</v>
      </c>
      <c r="P34" s="174">
        <f t="shared" si="31"/>
        <v>44331</v>
      </c>
      <c r="Q34" s="174">
        <f t="shared" si="31"/>
        <v>44347</v>
      </c>
      <c r="R34" s="174">
        <f t="shared" si="31"/>
        <v>44362</v>
      </c>
      <c r="V34" s="151" t="s">
        <v>60</v>
      </c>
      <c r="W34" s="151" t="s">
        <v>63</v>
      </c>
      <c r="X34" s="151">
        <v>0</v>
      </c>
      <c r="Y34" s="151">
        <v>0</v>
      </c>
      <c r="Z34" s="151">
        <v>0</v>
      </c>
      <c r="AA34" s="151">
        <v>0</v>
      </c>
      <c r="AB34" s="151">
        <v>0.5</v>
      </c>
      <c r="AC34" s="151">
        <v>1.5</v>
      </c>
      <c r="AD34" s="151">
        <v>2.5</v>
      </c>
      <c r="AE34" s="151">
        <v>3.5</v>
      </c>
      <c r="AF34" s="151">
        <v>4.5</v>
      </c>
      <c r="AG34" s="151">
        <v>5.5</v>
      </c>
      <c r="AH34" s="151">
        <v>6.5</v>
      </c>
      <c r="AI34" s="151">
        <v>7.5</v>
      </c>
      <c r="AJ34" s="151">
        <v>8.5</v>
      </c>
      <c r="AK34" s="151">
        <v>9</v>
      </c>
      <c r="AL34" s="151">
        <v>9</v>
      </c>
      <c r="AM34" s="151">
        <v>9</v>
      </c>
      <c r="AN34" s="151" t="s">
        <v>60</v>
      </c>
      <c r="AO34" s="151" t="s">
        <v>74</v>
      </c>
      <c r="AP34" s="151">
        <f t="shared" ref="AP34:BE34" si="32">3-AP13</f>
        <v>0</v>
      </c>
      <c r="AQ34" s="151">
        <f t="shared" si="32"/>
        <v>0.5</v>
      </c>
      <c r="AR34" s="151">
        <f t="shared" si="32"/>
        <v>1</v>
      </c>
      <c r="AS34" s="151">
        <f t="shared" si="32"/>
        <v>1.5</v>
      </c>
      <c r="AT34" s="151">
        <f t="shared" si="32"/>
        <v>1.5</v>
      </c>
      <c r="AU34" s="151">
        <f t="shared" si="32"/>
        <v>1.5</v>
      </c>
      <c r="AV34" s="151">
        <f t="shared" si="32"/>
        <v>1.5</v>
      </c>
      <c r="AW34" s="151">
        <f t="shared" si="32"/>
        <v>1.5</v>
      </c>
      <c r="AX34" s="151">
        <f t="shared" si="32"/>
        <v>1.5</v>
      </c>
      <c r="AY34" s="151">
        <f t="shared" si="32"/>
        <v>1.5</v>
      </c>
      <c r="AZ34" s="151">
        <f t="shared" si="32"/>
        <v>1.5</v>
      </c>
      <c r="BA34" s="151">
        <f t="shared" si="32"/>
        <v>1.5</v>
      </c>
      <c r="BB34" s="151">
        <f t="shared" si="32"/>
        <v>1.5</v>
      </c>
      <c r="BC34" s="151">
        <f t="shared" si="32"/>
        <v>1.5</v>
      </c>
      <c r="BD34" s="151">
        <f t="shared" si="32"/>
        <v>2</v>
      </c>
      <c r="BE34" s="151">
        <f t="shared" si="32"/>
        <v>2.5</v>
      </c>
    </row>
    <row r="35" spans="1:99" s="151" customFormat="1" ht="14.1" customHeight="1">
      <c r="A35" s="163" t="s">
        <v>59</v>
      </c>
      <c r="B35" s="151">
        <v>12</v>
      </c>
      <c r="C35" s="151">
        <f>ROUND((($U$2*X$13)+($V$2*X$34)+($U$2*AP$13)+($V$2*AP$34)+($W$2*(3-(AP$13+AP$34)))+($W$2*(9-(X$13+X$34))))*$AO$11,0)</f>
        <v>25680</v>
      </c>
      <c r="D35" s="151">
        <f>ROUND((($U$2*Y$13)+($V$2*Y$34)+($U$2*AQ$13)+($V$2*AQ$34)+($W$2*(3-(AQ$13+AQ$34)))+($W$2*(9-(Y$13+Y$34))))*$AO$11,0)</f>
        <v>25723</v>
      </c>
      <c r="E35" s="151">
        <f>ROUND((($U$2*Z$13)+($V$2*Z$34)+($U$2*AR$13)+($V$2*AR$34)+($W$2*(3-(AR$13+AR$34)))+($W$2*(9-(Z$13+Z$34))))*$AO$11,0)</f>
        <v>25766</v>
      </c>
      <c r="F35" s="151">
        <f t="shared" ref="F35:R35" si="33">ROUND((($U$2*AA$13)+($V$2*AA$34)+($U$2*AS$13)+($V$2*AS$34)+($W$2*(3-(AS$13+AS$34)))+($W$2*(9-(AA$13+AA$34))))*$AO$11,0)</f>
        <v>25808</v>
      </c>
      <c r="G35" s="151">
        <f t="shared" si="33"/>
        <v>25851</v>
      </c>
      <c r="H35" s="151">
        <f t="shared" si="33"/>
        <v>25937</v>
      </c>
      <c r="I35" s="151">
        <f t="shared" si="33"/>
        <v>26022</v>
      </c>
      <c r="J35" s="151">
        <f t="shared" si="33"/>
        <v>26108</v>
      </c>
      <c r="K35" s="151">
        <f t="shared" si="33"/>
        <v>26193</v>
      </c>
      <c r="L35" s="151">
        <f t="shared" si="33"/>
        <v>26279</v>
      </c>
      <c r="M35" s="151">
        <f t="shared" si="33"/>
        <v>26364</v>
      </c>
      <c r="N35" s="151">
        <f t="shared" si="33"/>
        <v>26450</v>
      </c>
      <c r="O35" s="151">
        <f t="shared" si="33"/>
        <v>26535</v>
      </c>
      <c r="P35" s="151">
        <f t="shared" si="33"/>
        <v>26578</v>
      </c>
      <c r="Q35" s="151">
        <f t="shared" si="33"/>
        <v>26621</v>
      </c>
      <c r="R35" s="151">
        <f t="shared" si="33"/>
        <v>26663</v>
      </c>
      <c r="V35" s="151" t="s">
        <v>65</v>
      </c>
      <c r="W35" s="151" t="s">
        <v>67</v>
      </c>
      <c r="X35" s="151">
        <v>0</v>
      </c>
      <c r="Y35" s="151">
        <v>0</v>
      </c>
      <c r="Z35" s="151">
        <v>0</v>
      </c>
      <c r="AA35" s="151">
        <v>0</v>
      </c>
      <c r="AB35" s="151">
        <v>0.5</v>
      </c>
      <c r="AC35" s="151">
        <v>1.5</v>
      </c>
      <c r="AD35" s="151">
        <v>2.5</v>
      </c>
      <c r="AE35" s="151">
        <v>3.5</v>
      </c>
      <c r="AF35" s="151">
        <v>4.5</v>
      </c>
      <c r="AG35" s="151">
        <v>5.5</v>
      </c>
      <c r="AH35" s="151">
        <v>6.5</v>
      </c>
      <c r="AI35" s="151">
        <v>7.5</v>
      </c>
      <c r="AJ35" s="151">
        <v>8.5</v>
      </c>
      <c r="AK35" s="151">
        <v>9</v>
      </c>
      <c r="AL35" s="151">
        <v>9</v>
      </c>
      <c r="AM35" s="151">
        <v>9</v>
      </c>
      <c r="AN35" s="151" t="s">
        <v>65</v>
      </c>
      <c r="AO35" s="151" t="s">
        <v>74</v>
      </c>
      <c r="AP35" s="151">
        <f t="shared" ref="AP35:BE35" si="34">2-AP14</f>
        <v>0</v>
      </c>
      <c r="AQ35" s="151">
        <f t="shared" si="34"/>
        <v>0</v>
      </c>
      <c r="AR35" s="151">
        <f t="shared" si="34"/>
        <v>0</v>
      </c>
      <c r="AS35" s="151">
        <f t="shared" si="34"/>
        <v>0.5</v>
      </c>
      <c r="AT35" s="151">
        <f t="shared" si="34"/>
        <v>0.5</v>
      </c>
      <c r="AU35" s="151">
        <f t="shared" si="34"/>
        <v>0.5</v>
      </c>
      <c r="AV35" s="151">
        <f t="shared" si="34"/>
        <v>0.5</v>
      </c>
      <c r="AW35" s="151">
        <f t="shared" si="34"/>
        <v>0.5</v>
      </c>
      <c r="AX35" s="151">
        <f t="shared" si="34"/>
        <v>0.5</v>
      </c>
      <c r="AY35" s="151">
        <f t="shared" si="34"/>
        <v>0.5</v>
      </c>
      <c r="AZ35" s="151">
        <f t="shared" si="34"/>
        <v>0.5</v>
      </c>
      <c r="BA35" s="151">
        <f t="shared" si="34"/>
        <v>0.5</v>
      </c>
      <c r="BB35" s="151">
        <f t="shared" si="34"/>
        <v>0.5</v>
      </c>
      <c r="BC35" s="151">
        <f t="shared" si="34"/>
        <v>0.5</v>
      </c>
      <c r="BD35" s="151">
        <f t="shared" si="34"/>
        <v>1</v>
      </c>
      <c r="BE35" s="151">
        <f t="shared" si="34"/>
        <v>1.5</v>
      </c>
    </row>
    <row r="36" spans="1:99" s="151" customFormat="1" ht="14.1" customHeight="1">
      <c r="A36" s="163" t="s">
        <v>64</v>
      </c>
      <c r="B36" s="151">
        <v>11</v>
      </c>
      <c r="C36" s="151">
        <f>ROUND((($U$2*X$14)+($V$2*X$35)+($U$2*AP$14)+($V$2*AP$35)+($W$2*(2-(AP$14+AP$35)))+($W$2*(9-(X$14+X$35))))*$AO$11,0)</f>
        <v>23540</v>
      </c>
      <c r="D36" s="151">
        <f t="shared" ref="D36:R36" si="35">ROUND((($U$2*Y$14)+($V$2*Y$35)+($U$2*AQ$14)+($V$2*AQ$35)+($W$2*(2-(AQ$14+AQ$35)))+($W$2*(9-(Y$14+Y$35))))*$AO$11,0)</f>
        <v>23540</v>
      </c>
      <c r="E36" s="151">
        <f t="shared" si="35"/>
        <v>23540</v>
      </c>
      <c r="F36" s="151">
        <f t="shared" si="35"/>
        <v>23583</v>
      </c>
      <c r="G36" s="151">
        <f t="shared" si="35"/>
        <v>23626</v>
      </c>
      <c r="H36" s="151">
        <f t="shared" si="35"/>
        <v>23711</v>
      </c>
      <c r="I36" s="151">
        <f t="shared" si="35"/>
        <v>23797</v>
      </c>
      <c r="J36" s="151">
        <f t="shared" si="35"/>
        <v>23882</v>
      </c>
      <c r="K36" s="151">
        <f t="shared" si="35"/>
        <v>23968</v>
      </c>
      <c r="L36" s="151">
        <f t="shared" si="35"/>
        <v>24053</v>
      </c>
      <c r="M36" s="151">
        <f t="shared" si="35"/>
        <v>24139</v>
      </c>
      <c r="N36" s="151">
        <f t="shared" si="35"/>
        <v>24224</v>
      </c>
      <c r="O36" s="151">
        <f t="shared" si="35"/>
        <v>24310</v>
      </c>
      <c r="P36" s="151">
        <f t="shared" si="35"/>
        <v>24352</v>
      </c>
      <c r="Q36" s="151">
        <f t="shared" si="35"/>
        <v>24395</v>
      </c>
      <c r="R36" s="151">
        <f t="shared" si="35"/>
        <v>24438</v>
      </c>
      <c r="V36" s="151" t="s">
        <v>69</v>
      </c>
      <c r="W36" s="151" t="s">
        <v>67</v>
      </c>
      <c r="X36" s="151">
        <v>0</v>
      </c>
      <c r="Y36" s="151">
        <v>0</v>
      </c>
      <c r="Z36" s="151">
        <v>0</v>
      </c>
      <c r="AA36" s="151">
        <v>0</v>
      </c>
      <c r="AB36" s="151">
        <v>0.5</v>
      </c>
      <c r="AC36" s="151">
        <v>1.5</v>
      </c>
      <c r="AD36" s="151">
        <v>2.5</v>
      </c>
      <c r="AE36" s="151">
        <v>3.5</v>
      </c>
      <c r="AF36" s="151">
        <v>4.5</v>
      </c>
      <c r="AG36" s="151">
        <v>5.5</v>
      </c>
      <c r="AH36" s="151">
        <v>6.5</v>
      </c>
      <c r="AI36" s="151">
        <v>7.5</v>
      </c>
      <c r="AJ36" s="151">
        <v>8.5</v>
      </c>
      <c r="AK36" s="151">
        <v>9</v>
      </c>
      <c r="AL36" s="151">
        <v>9</v>
      </c>
      <c r="AM36" s="151">
        <v>9</v>
      </c>
      <c r="AN36" s="151" t="s">
        <v>69</v>
      </c>
      <c r="AO36" s="151" t="s">
        <v>74</v>
      </c>
      <c r="AP36" s="151">
        <f t="shared" ref="AP36:BE36" si="36">1-AP15</f>
        <v>0</v>
      </c>
      <c r="AQ36" s="151">
        <f t="shared" si="36"/>
        <v>0</v>
      </c>
      <c r="AR36" s="151">
        <f t="shared" si="36"/>
        <v>0</v>
      </c>
      <c r="AS36" s="151">
        <f t="shared" si="36"/>
        <v>0</v>
      </c>
      <c r="AT36" s="151">
        <f t="shared" si="36"/>
        <v>0</v>
      </c>
      <c r="AU36" s="151">
        <f t="shared" si="36"/>
        <v>0</v>
      </c>
      <c r="AV36" s="151">
        <f t="shared" si="36"/>
        <v>0</v>
      </c>
      <c r="AW36" s="151">
        <f t="shared" si="36"/>
        <v>0</v>
      </c>
      <c r="AX36" s="151">
        <f t="shared" si="36"/>
        <v>0</v>
      </c>
      <c r="AY36" s="151">
        <f t="shared" si="36"/>
        <v>0</v>
      </c>
      <c r="AZ36" s="151">
        <f t="shared" si="36"/>
        <v>0</v>
      </c>
      <c r="BA36" s="151">
        <f t="shared" si="36"/>
        <v>0</v>
      </c>
      <c r="BB36" s="151">
        <f t="shared" si="36"/>
        <v>0</v>
      </c>
      <c r="BC36" s="151">
        <f t="shared" si="36"/>
        <v>0</v>
      </c>
      <c r="BD36" s="151">
        <f t="shared" si="36"/>
        <v>0</v>
      </c>
      <c r="BE36" s="151">
        <f t="shared" si="36"/>
        <v>0.5</v>
      </c>
    </row>
    <row r="37" spans="1:99" s="151" customFormat="1" ht="14.1" customHeight="1">
      <c r="A37" s="163" t="s">
        <v>68</v>
      </c>
      <c r="B37" s="151">
        <v>10</v>
      </c>
      <c r="C37" s="151">
        <f>ROUND((($U$2*X$15)+($V$2*X$36)+($U$2*AP$15)+($V$2*AP$36)+($W$2*(1-(AP$15+AP$36)))+($W$2*(9-(X$15+X$36))))*$AO$11,0)</f>
        <v>21400</v>
      </c>
      <c r="D37" s="151">
        <f t="shared" ref="D37:R37" si="37">ROUND((($U$2*Y$15)+($V$2*Y$36)+($U$2*AQ$15)+($V$2*AQ$36)+($W$2*(1-(AQ$15+AQ$36)))+($W$2*(9-(Y$15+Y$36))))*$AO$11,0)</f>
        <v>21400</v>
      </c>
      <c r="E37" s="151">
        <f t="shared" si="37"/>
        <v>21400</v>
      </c>
      <c r="F37" s="151">
        <f t="shared" si="37"/>
        <v>21400</v>
      </c>
      <c r="G37" s="151">
        <f t="shared" si="37"/>
        <v>21443</v>
      </c>
      <c r="H37" s="151">
        <f t="shared" si="37"/>
        <v>21528</v>
      </c>
      <c r="I37" s="151">
        <f t="shared" si="37"/>
        <v>21614</v>
      </c>
      <c r="J37" s="151">
        <f t="shared" si="37"/>
        <v>21699</v>
      </c>
      <c r="K37" s="151">
        <f t="shared" si="37"/>
        <v>21785</v>
      </c>
      <c r="L37" s="151">
        <f t="shared" si="37"/>
        <v>21870</v>
      </c>
      <c r="M37" s="151">
        <f t="shared" si="37"/>
        <v>21956</v>
      </c>
      <c r="N37" s="151">
        <f t="shared" si="37"/>
        <v>22041</v>
      </c>
      <c r="O37" s="151">
        <f t="shared" si="37"/>
        <v>22127</v>
      </c>
      <c r="P37" s="151">
        <f t="shared" si="37"/>
        <v>22170</v>
      </c>
      <c r="Q37" s="151">
        <f t="shared" si="37"/>
        <v>22170</v>
      </c>
      <c r="R37" s="151">
        <f t="shared" si="37"/>
        <v>22212</v>
      </c>
      <c r="V37" s="151" t="s">
        <v>71</v>
      </c>
      <c r="W37" s="151" t="s">
        <v>67</v>
      </c>
      <c r="X37" s="151">
        <v>0</v>
      </c>
      <c r="Y37" s="151">
        <v>0</v>
      </c>
      <c r="Z37" s="151">
        <v>0</v>
      </c>
      <c r="AA37" s="151">
        <v>0</v>
      </c>
      <c r="AB37" s="151">
        <v>0.5</v>
      </c>
      <c r="AC37" s="151">
        <v>1.5</v>
      </c>
      <c r="AD37" s="151">
        <v>2.5</v>
      </c>
      <c r="AE37" s="151">
        <v>3.5</v>
      </c>
      <c r="AF37" s="151">
        <v>4.5</v>
      </c>
      <c r="AG37" s="151">
        <v>5.5</v>
      </c>
      <c r="AH37" s="151">
        <v>6.5</v>
      </c>
      <c r="AI37" s="151">
        <v>7.5</v>
      </c>
      <c r="AJ37" s="151">
        <v>8.5</v>
      </c>
      <c r="AK37" s="151">
        <v>9</v>
      </c>
      <c r="AL37" s="151">
        <v>9</v>
      </c>
      <c r="AM37" s="151">
        <v>9</v>
      </c>
      <c r="AN37" s="151" t="s">
        <v>71</v>
      </c>
      <c r="AO37" s="151" t="s">
        <v>74</v>
      </c>
      <c r="AP37" s="151">
        <v>0</v>
      </c>
      <c r="AQ37" s="151">
        <v>0</v>
      </c>
      <c r="AR37" s="151">
        <v>0</v>
      </c>
      <c r="AS37" s="151">
        <v>0</v>
      </c>
      <c r="AT37" s="151">
        <v>0</v>
      </c>
      <c r="AU37" s="151">
        <v>0</v>
      </c>
      <c r="AV37" s="151">
        <v>0</v>
      </c>
      <c r="AW37" s="151">
        <v>0</v>
      </c>
      <c r="AX37" s="151">
        <v>0</v>
      </c>
      <c r="AY37" s="151">
        <v>0</v>
      </c>
      <c r="AZ37" s="151">
        <v>0</v>
      </c>
      <c r="BA37" s="151">
        <v>0</v>
      </c>
      <c r="BB37" s="151">
        <v>0</v>
      </c>
      <c r="BC37" s="151">
        <v>0</v>
      </c>
      <c r="BD37" s="151">
        <v>0</v>
      </c>
      <c r="BE37" s="151">
        <v>0</v>
      </c>
    </row>
    <row r="38" spans="1:99" s="151" customFormat="1" ht="14.1" customHeight="1">
      <c r="A38" s="163" t="s">
        <v>70</v>
      </c>
      <c r="B38" s="151">
        <v>9</v>
      </c>
      <c r="C38" s="151">
        <f>ROUND((($U$2*X$16)+($V$2*X$37)+($U$2*AP$16)+($V$2*AP$37)+($W$2*(0-(AP$16+AP$37)))+($W$2*(9-(X$16+X$37))))*$AO$11,0)</f>
        <v>19260</v>
      </c>
      <c r="D38" s="151">
        <f t="shared" ref="D38:R38" si="38">ROUND((($U$2*Y$16)+($V$2*Y$37)+($U$2*AQ$16)+($V$2*AQ$37)+($W$2*(0-(AQ$16+AQ$37)))+($W$2*(9-(Y$16+Y$37))))*$AO$11,0)</f>
        <v>19260</v>
      </c>
      <c r="E38" s="151">
        <f t="shared" si="38"/>
        <v>19260</v>
      </c>
      <c r="F38" s="151">
        <f t="shared" si="38"/>
        <v>19260</v>
      </c>
      <c r="G38" s="151">
        <f t="shared" si="38"/>
        <v>19303</v>
      </c>
      <c r="H38" s="151">
        <f t="shared" si="38"/>
        <v>19388</v>
      </c>
      <c r="I38" s="151">
        <f t="shared" si="38"/>
        <v>19474</v>
      </c>
      <c r="J38" s="151">
        <f t="shared" si="38"/>
        <v>19559</v>
      </c>
      <c r="K38" s="151">
        <f t="shared" si="38"/>
        <v>19645</v>
      </c>
      <c r="L38" s="151">
        <f t="shared" si="38"/>
        <v>19730</v>
      </c>
      <c r="M38" s="151">
        <f t="shared" si="38"/>
        <v>19816</v>
      </c>
      <c r="N38" s="151">
        <f t="shared" si="38"/>
        <v>19901</v>
      </c>
      <c r="O38" s="151">
        <f t="shared" si="38"/>
        <v>19987</v>
      </c>
      <c r="P38" s="151">
        <f t="shared" si="38"/>
        <v>20030</v>
      </c>
      <c r="Q38" s="151">
        <f t="shared" si="38"/>
        <v>20030</v>
      </c>
      <c r="R38" s="151">
        <f t="shared" si="38"/>
        <v>20030</v>
      </c>
      <c r="V38" s="151" t="s">
        <v>73</v>
      </c>
      <c r="W38" s="151" t="s">
        <v>74</v>
      </c>
      <c r="X38" s="151">
        <v>0</v>
      </c>
      <c r="Y38" s="151">
        <v>0</v>
      </c>
      <c r="Z38" s="151">
        <v>0</v>
      </c>
      <c r="AA38" s="151">
        <v>0</v>
      </c>
      <c r="AB38" s="151">
        <v>0</v>
      </c>
      <c r="AC38" s="151">
        <v>0</v>
      </c>
      <c r="AD38" s="151">
        <v>0</v>
      </c>
      <c r="AE38" s="151">
        <v>0</v>
      </c>
      <c r="AF38" s="151">
        <v>0</v>
      </c>
      <c r="AG38" s="151">
        <v>0</v>
      </c>
      <c r="AH38" s="151">
        <v>0</v>
      </c>
      <c r="AI38" s="151">
        <v>0</v>
      </c>
      <c r="AJ38" s="151">
        <v>0</v>
      </c>
      <c r="AK38" s="151">
        <v>0</v>
      </c>
      <c r="AL38" s="151">
        <v>0</v>
      </c>
      <c r="AM38" s="151">
        <v>0</v>
      </c>
      <c r="AN38" s="151" t="s">
        <v>73</v>
      </c>
      <c r="AO38" s="151" t="s">
        <v>74</v>
      </c>
      <c r="AP38" s="151">
        <f t="shared" ref="AP38:BE38" si="39">3-AP17</f>
        <v>0</v>
      </c>
      <c r="AQ38" s="151">
        <f t="shared" si="39"/>
        <v>0.5</v>
      </c>
      <c r="AR38" s="151">
        <f t="shared" si="39"/>
        <v>1</v>
      </c>
      <c r="AS38" s="151">
        <f t="shared" si="39"/>
        <v>1.5</v>
      </c>
      <c r="AT38" s="151">
        <f t="shared" si="39"/>
        <v>1.5</v>
      </c>
      <c r="AU38" s="151">
        <f t="shared" si="39"/>
        <v>1.5</v>
      </c>
      <c r="AV38" s="151">
        <f t="shared" si="39"/>
        <v>1.5</v>
      </c>
      <c r="AW38" s="151">
        <f t="shared" si="39"/>
        <v>1.5</v>
      </c>
      <c r="AX38" s="151">
        <f t="shared" si="39"/>
        <v>1.5</v>
      </c>
      <c r="AY38" s="151">
        <f t="shared" si="39"/>
        <v>1.5</v>
      </c>
      <c r="AZ38" s="151">
        <f t="shared" si="39"/>
        <v>1.5</v>
      </c>
      <c r="BA38" s="151">
        <f t="shared" si="39"/>
        <v>1.5</v>
      </c>
      <c r="BB38" s="151">
        <f t="shared" si="39"/>
        <v>1.5</v>
      </c>
      <c r="BC38" s="151">
        <f t="shared" si="39"/>
        <v>1.5</v>
      </c>
      <c r="BD38" s="151">
        <f t="shared" si="39"/>
        <v>2</v>
      </c>
      <c r="BE38" s="151">
        <f t="shared" si="39"/>
        <v>2.5</v>
      </c>
    </row>
    <row r="39" spans="1:99" s="151" customFormat="1" ht="14.1" customHeight="1">
      <c r="A39" s="163" t="s">
        <v>72</v>
      </c>
      <c r="B39" s="151">
        <v>3</v>
      </c>
      <c r="C39" s="151">
        <f>ROUND((($U$2*X$17)+($V$2*X$38)+($U$2*AP$17)+($V$2*AP$38)+($W$2*(3-(AP$17+AP$38)))+($W$2*(0-(X$17+X$38))))*$AO$11,0)</f>
        <v>6420</v>
      </c>
      <c r="D39" s="151">
        <f t="shared" ref="D39:R39" si="40">ROUND((($U$2*Y$17)+($V$2*Y$38)+($U$2*AQ$17)+($V$2*AQ$38)+($W$2*(3-(AQ$17+AQ$38)))+($W$2*(0-(Y$17+Y$38))))*$AO$11,0)</f>
        <v>6463</v>
      </c>
      <c r="E39" s="151">
        <f t="shared" si="40"/>
        <v>6506</v>
      </c>
      <c r="F39" s="151">
        <f t="shared" si="40"/>
        <v>6548</v>
      </c>
      <c r="G39" s="151">
        <f t="shared" si="40"/>
        <v>6548</v>
      </c>
      <c r="H39" s="151">
        <f t="shared" si="40"/>
        <v>6548</v>
      </c>
      <c r="I39" s="151">
        <f t="shared" si="40"/>
        <v>6548</v>
      </c>
      <c r="J39" s="151">
        <f t="shared" si="40"/>
        <v>6548</v>
      </c>
      <c r="K39" s="151">
        <f t="shared" si="40"/>
        <v>6548</v>
      </c>
      <c r="L39" s="151">
        <f t="shared" si="40"/>
        <v>6548</v>
      </c>
      <c r="M39" s="151">
        <f t="shared" si="40"/>
        <v>6548</v>
      </c>
      <c r="N39" s="151">
        <f t="shared" si="40"/>
        <v>6548</v>
      </c>
      <c r="O39" s="151">
        <f t="shared" si="40"/>
        <v>6548</v>
      </c>
      <c r="P39" s="151">
        <f t="shared" si="40"/>
        <v>6548</v>
      </c>
      <c r="Q39" s="151">
        <f t="shared" si="40"/>
        <v>6591</v>
      </c>
      <c r="R39" s="151">
        <f t="shared" si="40"/>
        <v>6634</v>
      </c>
      <c r="V39" s="151" t="s">
        <v>76</v>
      </c>
      <c r="W39" s="151" t="s">
        <v>74</v>
      </c>
      <c r="X39" s="151">
        <v>0</v>
      </c>
      <c r="Y39" s="151">
        <v>0</v>
      </c>
      <c r="Z39" s="151">
        <v>0</v>
      </c>
      <c r="AA39" s="151">
        <v>0</v>
      </c>
      <c r="AB39" s="151">
        <v>0</v>
      </c>
      <c r="AC39" s="151">
        <v>0</v>
      </c>
      <c r="AD39" s="151">
        <v>0</v>
      </c>
      <c r="AE39" s="151">
        <v>0</v>
      </c>
      <c r="AF39" s="151">
        <v>0</v>
      </c>
      <c r="AG39" s="151">
        <v>0</v>
      </c>
      <c r="AH39" s="151">
        <v>0</v>
      </c>
      <c r="AI39" s="151">
        <v>0</v>
      </c>
      <c r="AJ39" s="151">
        <v>0</v>
      </c>
      <c r="AK39" s="151">
        <v>0</v>
      </c>
      <c r="AL39" s="151">
        <v>0</v>
      </c>
      <c r="AM39" s="151">
        <v>0</v>
      </c>
      <c r="AN39" s="151" t="s">
        <v>76</v>
      </c>
      <c r="AO39" s="151" t="s">
        <v>74</v>
      </c>
      <c r="AP39" s="151">
        <f t="shared" ref="AP39:BE39" si="41">2-AP18</f>
        <v>0</v>
      </c>
      <c r="AQ39" s="151">
        <f t="shared" si="41"/>
        <v>0</v>
      </c>
      <c r="AR39" s="151">
        <f t="shared" si="41"/>
        <v>0</v>
      </c>
      <c r="AS39" s="151">
        <f t="shared" si="41"/>
        <v>0.5</v>
      </c>
      <c r="AT39" s="151">
        <f t="shared" si="41"/>
        <v>0.5</v>
      </c>
      <c r="AU39" s="151">
        <f t="shared" si="41"/>
        <v>0.5</v>
      </c>
      <c r="AV39" s="151">
        <f t="shared" si="41"/>
        <v>0.5</v>
      </c>
      <c r="AW39" s="151">
        <f t="shared" si="41"/>
        <v>0.5</v>
      </c>
      <c r="AX39" s="151">
        <f t="shared" si="41"/>
        <v>0.5</v>
      </c>
      <c r="AY39" s="151">
        <f t="shared" si="41"/>
        <v>0.5</v>
      </c>
      <c r="AZ39" s="151">
        <f t="shared" si="41"/>
        <v>0.5</v>
      </c>
      <c r="BA39" s="151">
        <f t="shared" si="41"/>
        <v>0.5</v>
      </c>
      <c r="BB39" s="151">
        <f t="shared" si="41"/>
        <v>0.5</v>
      </c>
      <c r="BC39" s="151">
        <f t="shared" si="41"/>
        <v>0.5</v>
      </c>
      <c r="BD39" s="151">
        <f t="shared" si="41"/>
        <v>1</v>
      </c>
      <c r="BE39" s="151">
        <f t="shared" si="41"/>
        <v>1.5</v>
      </c>
    </row>
    <row r="40" spans="1:99" s="151" customFormat="1" ht="14.1" customHeight="1">
      <c r="A40" s="163" t="s">
        <v>75</v>
      </c>
      <c r="B40" s="151">
        <v>2</v>
      </c>
      <c r="C40" s="151">
        <f>ROUND((($U$2*X$18)+($V$2*X$39)+($U$2*AP$18)+($V$2*AP$39)+($W$2*(2-(AP$18+AP$39)))+($W$2*(0-(X$18+X$39))))*$AO$11,0)</f>
        <v>4280</v>
      </c>
      <c r="D40" s="151">
        <f t="shared" ref="D40:R40" si="42">ROUND((($U$2*Y$18)+($V$2*Y$39)+($U$2*AQ$18)+($V$2*AQ$39)+($W$2*(2-(AQ$18+AQ$39)))+($W$2*(0-(Y$18+Y$39))))*$AO$11,0)</f>
        <v>4280</v>
      </c>
      <c r="E40" s="151">
        <f t="shared" si="42"/>
        <v>4280</v>
      </c>
      <c r="F40" s="151">
        <f t="shared" si="42"/>
        <v>4323</v>
      </c>
      <c r="G40" s="151">
        <f t="shared" si="42"/>
        <v>4323</v>
      </c>
      <c r="H40" s="151">
        <f t="shared" si="42"/>
        <v>4323</v>
      </c>
      <c r="I40" s="151">
        <f t="shared" si="42"/>
        <v>4323</v>
      </c>
      <c r="J40" s="151">
        <f t="shared" si="42"/>
        <v>4323</v>
      </c>
      <c r="K40" s="151">
        <f t="shared" si="42"/>
        <v>4323</v>
      </c>
      <c r="L40" s="151">
        <f t="shared" si="42"/>
        <v>4323</v>
      </c>
      <c r="M40" s="151">
        <f t="shared" si="42"/>
        <v>4323</v>
      </c>
      <c r="N40" s="151">
        <f t="shared" si="42"/>
        <v>4323</v>
      </c>
      <c r="O40" s="151">
        <f t="shared" si="42"/>
        <v>4323</v>
      </c>
      <c r="P40" s="151">
        <f t="shared" si="42"/>
        <v>4323</v>
      </c>
      <c r="Q40" s="151">
        <f t="shared" si="42"/>
        <v>4366</v>
      </c>
      <c r="R40" s="151">
        <f t="shared" si="42"/>
        <v>4408</v>
      </c>
      <c r="V40" s="151" t="s">
        <v>78</v>
      </c>
      <c r="W40" s="151" t="s">
        <v>74</v>
      </c>
      <c r="X40" s="151">
        <v>0</v>
      </c>
      <c r="Y40" s="151">
        <v>0</v>
      </c>
      <c r="Z40" s="151">
        <v>0</v>
      </c>
      <c r="AA40" s="151">
        <v>0</v>
      </c>
      <c r="AB40" s="151">
        <v>0</v>
      </c>
      <c r="AC40" s="151">
        <v>0</v>
      </c>
      <c r="AD40" s="151">
        <v>0</v>
      </c>
      <c r="AE40" s="151">
        <v>0</v>
      </c>
      <c r="AF40" s="151">
        <v>0</v>
      </c>
      <c r="AG40" s="151">
        <v>0</v>
      </c>
      <c r="AH40" s="151">
        <v>0</v>
      </c>
      <c r="AI40" s="151">
        <v>0</v>
      </c>
      <c r="AJ40" s="151">
        <v>0</v>
      </c>
      <c r="AK40" s="151">
        <v>0</v>
      </c>
      <c r="AL40" s="151">
        <v>0</v>
      </c>
      <c r="AM40" s="151">
        <v>0</v>
      </c>
      <c r="AN40" s="151" t="s">
        <v>78</v>
      </c>
      <c r="AO40" s="151" t="s">
        <v>74</v>
      </c>
      <c r="AP40" s="151">
        <f t="shared" ref="AP40:BE40" si="43">1-AP19</f>
        <v>0</v>
      </c>
      <c r="AQ40" s="151">
        <f t="shared" si="43"/>
        <v>0</v>
      </c>
      <c r="AR40" s="151">
        <f t="shared" si="43"/>
        <v>0</v>
      </c>
      <c r="AS40" s="151">
        <f t="shared" si="43"/>
        <v>0</v>
      </c>
      <c r="AT40" s="151">
        <f t="shared" si="43"/>
        <v>0</v>
      </c>
      <c r="AU40" s="151">
        <f t="shared" si="43"/>
        <v>0</v>
      </c>
      <c r="AV40" s="151">
        <f t="shared" si="43"/>
        <v>0</v>
      </c>
      <c r="AW40" s="151">
        <f t="shared" si="43"/>
        <v>0</v>
      </c>
      <c r="AX40" s="151">
        <f t="shared" si="43"/>
        <v>0</v>
      </c>
      <c r="AY40" s="151">
        <f t="shared" si="43"/>
        <v>0</v>
      </c>
      <c r="AZ40" s="151">
        <f t="shared" si="43"/>
        <v>0</v>
      </c>
      <c r="BA40" s="151">
        <f t="shared" si="43"/>
        <v>0</v>
      </c>
      <c r="BB40" s="151">
        <f t="shared" si="43"/>
        <v>0</v>
      </c>
      <c r="BC40" s="151">
        <f t="shared" si="43"/>
        <v>0</v>
      </c>
      <c r="BD40" s="151">
        <f t="shared" si="43"/>
        <v>0</v>
      </c>
      <c r="BE40" s="151">
        <f t="shared" si="43"/>
        <v>0.5</v>
      </c>
    </row>
    <row r="41" spans="1:99" s="151" customFormat="1" ht="14.1" customHeight="1">
      <c r="A41" s="163" t="s">
        <v>77</v>
      </c>
      <c r="B41" s="151">
        <v>1</v>
      </c>
      <c r="C41" s="151">
        <f>ROUND((($U$2*X$19)+($V$2*X$40)+($U$2*AP$19)+($V$2*AP$40)+($W$2*(1-(AP$19+AP$40)))+($W$2*(0-(X$19+X$40))))*$AO$11,0)</f>
        <v>2140</v>
      </c>
      <c r="D41" s="151">
        <f t="shared" ref="D41:R41" si="44">ROUND((($U$2*Y$19)+($V$2*Y$40)+($U$2*AQ$19)+($V$2*AQ$40)+($W$2*(1-(AQ$19+AQ$40)))+($W$2*(0-(Y$19+Y$40))))*$AO$11,0)</f>
        <v>2140</v>
      </c>
      <c r="E41" s="151">
        <f t="shared" si="44"/>
        <v>2140</v>
      </c>
      <c r="F41" s="151">
        <f t="shared" si="44"/>
        <v>2140</v>
      </c>
      <c r="G41" s="151">
        <f t="shared" si="44"/>
        <v>2140</v>
      </c>
      <c r="H41" s="151">
        <f t="shared" si="44"/>
        <v>2140</v>
      </c>
      <c r="I41" s="151">
        <f t="shared" si="44"/>
        <v>2140</v>
      </c>
      <c r="J41" s="151">
        <f t="shared" si="44"/>
        <v>2140</v>
      </c>
      <c r="K41" s="151">
        <f t="shared" si="44"/>
        <v>2140</v>
      </c>
      <c r="L41" s="151">
        <f t="shared" si="44"/>
        <v>2140</v>
      </c>
      <c r="M41" s="151">
        <f t="shared" si="44"/>
        <v>2140</v>
      </c>
      <c r="N41" s="151">
        <f t="shared" si="44"/>
        <v>2140</v>
      </c>
      <c r="O41" s="151">
        <f t="shared" si="44"/>
        <v>2140</v>
      </c>
      <c r="P41" s="151">
        <f t="shared" si="44"/>
        <v>2140</v>
      </c>
      <c r="Q41" s="151">
        <f t="shared" si="44"/>
        <v>2140</v>
      </c>
      <c r="R41" s="151">
        <f t="shared" si="44"/>
        <v>2183</v>
      </c>
    </row>
    <row r="42" spans="1:99" ht="14.1" customHeight="1">
      <c r="A42" s="163"/>
      <c r="B42" s="151"/>
      <c r="C42" s="151"/>
      <c r="D42" s="151"/>
      <c r="E42" s="151"/>
      <c r="F42" s="151"/>
      <c r="G42" s="151"/>
      <c r="H42" s="151"/>
      <c r="I42" s="151"/>
      <c r="J42" s="151"/>
      <c r="K42" s="151"/>
      <c r="L42" s="151"/>
      <c r="M42" s="151"/>
      <c r="N42" s="151"/>
      <c r="O42" s="151"/>
      <c r="P42" s="151"/>
      <c r="Q42" s="151"/>
      <c r="R42" s="151"/>
    </row>
    <row r="43" spans="1:99" s="151" customFormat="1" ht="14.1" customHeight="1">
      <c r="A43" s="149" t="s">
        <v>327</v>
      </c>
      <c r="B43" s="164"/>
      <c r="C43" s="165"/>
      <c r="D43" s="165"/>
      <c r="E43" s="165"/>
      <c r="F43" s="165"/>
      <c r="G43" s="165"/>
      <c r="H43" s="165"/>
      <c r="I43" s="165"/>
      <c r="J43" s="165"/>
      <c r="K43" s="165"/>
      <c r="L43" s="165"/>
      <c r="M43" s="165"/>
      <c r="N43" s="165"/>
      <c r="O43" s="165"/>
      <c r="P43" s="165"/>
      <c r="Q43" s="165"/>
      <c r="R43" s="165"/>
    </row>
    <row r="44" spans="1:99" s="151" customFormat="1" ht="14.1" customHeight="1">
      <c r="A44" s="111"/>
      <c r="B44" s="166" t="s">
        <v>54</v>
      </c>
      <c r="C44" s="165"/>
      <c r="D44" s="165"/>
      <c r="E44" s="165"/>
      <c r="F44" s="165"/>
      <c r="G44" s="165"/>
      <c r="H44" s="165"/>
      <c r="I44" s="165"/>
      <c r="J44" s="165"/>
      <c r="K44" s="165"/>
      <c r="L44" s="165"/>
      <c r="M44" s="165"/>
      <c r="N44" s="165"/>
      <c r="O44" s="165"/>
      <c r="P44" s="165"/>
      <c r="Q44" s="165"/>
      <c r="R44" s="165"/>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c r="AV44" s="150"/>
      <c r="AW44" s="150"/>
      <c r="AX44" s="150"/>
      <c r="AY44" s="150"/>
      <c r="AZ44" s="150"/>
      <c r="BA44" s="150"/>
      <c r="BB44" s="150"/>
      <c r="BC44" s="150"/>
      <c r="BD44" s="150"/>
      <c r="BE44" s="150"/>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0"/>
      <c r="CF44" s="150"/>
      <c r="CG44" s="150"/>
      <c r="CH44" s="150"/>
      <c r="CI44" s="150"/>
      <c r="CJ44" s="150"/>
      <c r="CK44" s="150"/>
      <c r="CL44" s="150"/>
      <c r="CM44" s="150"/>
      <c r="CN44" s="150"/>
      <c r="CO44" s="150"/>
      <c r="CP44" s="150"/>
      <c r="CQ44" s="150"/>
      <c r="CR44" s="150"/>
      <c r="CS44" s="150"/>
      <c r="CT44" s="150"/>
      <c r="CU44" s="150"/>
    </row>
    <row r="45" spans="1:99" s="151" customFormat="1" ht="14.1" customHeight="1">
      <c r="A45" s="172"/>
      <c r="B45" s="173" t="s">
        <v>58</v>
      </c>
      <c r="C45" s="174">
        <f>C12</f>
        <v>44012</v>
      </c>
      <c r="D45" s="174">
        <f t="shared" ref="D45:R45" si="45">D12</f>
        <v>44027</v>
      </c>
      <c r="E45" s="174">
        <f t="shared" si="45"/>
        <v>44043</v>
      </c>
      <c r="F45" s="174">
        <f t="shared" si="45"/>
        <v>44058</v>
      </c>
      <c r="G45" s="174">
        <f t="shared" si="45"/>
        <v>44074</v>
      </c>
      <c r="H45" s="174">
        <f t="shared" si="45"/>
        <v>44104</v>
      </c>
      <c r="I45" s="174">
        <f t="shared" si="45"/>
        <v>44135</v>
      </c>
      <c r="J45" s="174">
        <f t="shared" si="45"/>
        <v>44165</v>
      </c>
      <c r="K45" s="174">
        <f t="shared" si="45"/>
        <v>44196</v>
      </c>
      <c r="L45" s="174">
        <f t="shared" si="45"/>
        <v>44227</v>
      </c>
      <c r="M45" s="174">
        <f t="shared" si="45"/>
        <v>44255</v>
      </c>
      <c r="N45" s="174">
        <f t="shared" si="45"/>
        <v>44286</v>
      </c>
      <c r="O45" s="174">
        <f t="shared" si="45"/>
        <v>44316</v>
      </c>
      <c r="P45" s="174">
        <f t="shared" si="45"/>
        <v>44331</v>
      </c>
      <c r="Q45" s="174">
        <f t="shared" si="45"/>
        <v>44347</v>
      </c>
      <c r="R45" s="174">
        <f t="shared" si="45"/>
        <v>44362</v>
      </c>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c r="AV45" s="150"/>
      <c r="AW45" s="150"/>
      <c r="AX45" s="150"/>
      <c r="AY45" s="150"/>
      <c r="AZ45" s="150"/>
      <c r="BA45" s="150"/>
      <c r="BB45" s="150"/>
      <c r="BC45" s="150"/>
      <c r="BD45" s="150"/>
      <c r="BE45" s="150"/>
      <c r="BF45" s="150"/>
      <c r="BG45" s="150"/>
      <c r="BH45" s="150"/>
      <c r="BI45" s="150"/>
      <c r="BJ45" s="150"/>
      <c r="BK45" s="150"/>
      <c r="BL45" s="150"/>
      <c r="BM45" s="150"/>
      <c r="BN45" s="150"/>
      <c r="BO45" s="150"/>
      <c r="BP45" s="150"/>
      <c r="BQ45" s="150"/>
      <c r="BR45" s="150"/>
      <c r="BS45" s="150"/>
      <c r="BT45" s="150"/>
      <c r="BU45" s="150"/>
      <c r="BV45" s="150"/>
      <c r="BW45" s="150"/>
      <c r="BX45" s="150"/>
      <c r="BY45" s="150"/>
      <c r="BZ45" s="150"/>
      <c r="CA45" s="150"/>
      <c r="CB45" s="150"/>
      <c r="CC45" s="150"/>
      <c r="CD45" s="150"/>
      <c r="CE45" s="150"/>
      <c r="CF45" s="150"/>
      <c r="CG45" s="150"/>
      <c r="CH45" s="150"/>
      <c r="CI45" s="150"/>
      <c r="CJ45" s="150"/>
      <c r="CK45" s="150"/>
      <c r="CL45" s="150"/>
      <c r="CM45" s="150"/>
      <c r="CN45" s="150"/>
      <c r="CO45" s="150"/>
      <c r="CP45" s="150"/>
      <c r="CQ45" s="150"/>
      <c r="CR45" s="150"/>
      <c r="CS45" s="150"/>
      <c r="CT45" s="150"/>
      <c r="CU45" s="150"/>
    </row>
    <row r="46" spans="1:99" s="151" customFormat="1" ht="14.1" customHeight="1">
      <c r="A46" s="163" t="s">
        <v>59</v>
      </c>
      <c r="B46" s="151">
        <v>12</v>
      </c>
      <c r="C46" s="151">
        <f t="shared" ref="C46:R46" si="46">ROUND((($U$3*X$13)+($V$3*X$34)+($U$3*AP$13)+($V$3*AP$34)+($W$3*(3-(AP$13+AP$34)))+($W$3*(9-(X$13+X$34))))*$AO$11,0)</f>
        <v>25194</v>
      </c>
      <c r="D46" s="151">
        <f t="shared" si="46"/>
        <v>25236</v>
      </c>
      <c r="E46" s="151">
        <f t="shared" si="46"/>
        <v>25278</v>
      </c>
      <c r="F46" s="151">
        <f t="shared" si="46"/>
        <v>25320</v>
      </c>
      <c r="G46" s="151">
        <f t="shared" si="46"/>
        <v>25362</v>
      </c>
      <c r="H46" s="151">
        <f t="shared" si="46"/>
        <v>25446</v>
      </c>
      <c r="I46" s="151">
        <f t="shared" si="46"/>
        <v>25530</v>
      </c>
      <c r="J46" s="151">
        <f t="shared" si="46"/>
        <v>25614</v>
      </c>
      <c r="K46" s="151">
        <f t="shared" si="46"/>
        <v>25698</v>
      </c>
      <c r="L46" s="151">
        <f t="shared" si="46"/>
        <v>25782</v>
      </c>
      <c r="M46" s="151">
        <f t="shared" si="46"/>
        <v>25866</v>
      </c>
      <c r="N46" s="151">
        <f t="shared" si="46"/>
        <v>25950</v>
      </c>
      <c r="O46" s="151">
        <f t="shared" si="46"/>
        <v>26034</v>
      </c>
      <c r="P46" s="151">
        <f t="shared" si="46"/>
        <v>26076</v>
      </c>
      <c r="Q46" s="151">
        <f t="shared" si="46"/>
        <v>26118</v>
      </c>
      <c r="R46" s="151">
        <f t="shared" si="46"/>
        <v>26160</v>
      </c>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50"/>
      <c r="BY46" s="150"/>
      <c r="BZ46" s="150"/>
      <c r="CA46" s="150"/>
      <c r="CB46" s="150"/>
      <c r="CC46" s="150"/>
      <c r="CD46" s="150"/>
      <c r="CE46" s="150"/>
      <c r="CF46" s="150"/>
      <c r="CG46" s="150"/>
      <c r="CH46" s="150"/>
      <c r="CI46" s="150"/>
      <c r="CJ46" s="150"/>
      <c r="CK46" s="150"/>
      <c r="CL46" s="150"/>
      <c r="CM46" s="150"/>
      <c r="CN46" s="150"/>
      <c r="CO46" s="150"/>
      <c r="CP46" s="150"/>
      <c r="CQ46" s="150"/>
      <c r="CR46" s="150"/>
      <c r="CS46" s="150"/>
      <c r="CT46" s="150"/>
      <c r="CU46" s="150"/>
    </row>
    <row r="47" spans="1:99" s="151" customFormat="1" ht="14.1" customHeight="1">
      <c r="A47" s="163" t="s">
        <v>64</v>
      </c>
      <c r="B47" s="151">
        <v>11</v>
      </c>
      <c r="C47" s="151">
        <f t="shared" ref="C47:R47" si="47">ROUND((($U$3*X$14)+($V$3*X$35)+($U$3*AP$14)+($V$3*AP$35)+($W$3*(2-(AP$14+AP$35)))+($W$3*(9-(X$14+X$35))))*$AO$11,0)</f>
        <v>23095</v>
      </c>
      <c r="D47" s="151">
        <f t="shared" si="47"/>
        <v>23095</v>
      </c>
      <c r="E47" s="151">
        <f t="shared" si="47"/>
        <v>23095</v>
      </c>
      <c r="F47" s="151">
        <f t="shared" si="47"/>
        <v>23137</v>
      </c>
      <c r="G47" s="151">
        <f t="shared" si="47"/>
        <v>23179</v>
      </c>
      <c r="H47" s="151">
        <f t="shared" si="47"/>
        <v>23263</v>
      </c>
      <c r="I47" s="151">
        <f t="shared" si="47"/>
        <v>23347</v>
      </c>
      <c r="J47" s="151">
        <f t="shared" si="47"/>
        <v>23431</v>
      </c>
      <c r="K47" s="151">
        <f t="shared" si="47"/>
        <v>23515</v>
      </c>
      <c r="L47" s="151">
        <f t="shared" si="47"/>
        <v>23599</v>
      </c>
      <c r="M47" s="151">
        <f t="shared" si="47"/>
        <v>23683</v>
      </c>
      <c r="N47" s="151">
        <f t="shared" si="47"/>
        <v>23767</v>
      </c>
      <c r="O47" s="151">
        <f t="shared" si="47"/>
        <v>23851</v>
      </c>
      <c r="P47" s="151">
        <f t="shared" si="47"/>
        <v>23893</v>
      </c>
      <c r="Q47" s="151">
        <f t="shared" si="47"/>
        <v>23935</v>
      </c>
      <c r="R47" s="151">
        <f t="shared" si="47"/>
        <v>23977</v>
      </c>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c r="BK47" s="150"/>
      <c r="BL47" s="150"/>
      <c r="BM47" s="150"/>
      <c r="BN47" s="150"/>
      <c r="BO47" s="150"/>
      <c r="BP47" s="150"/>
      <c r="BQ47" s="150"/>
      <c r="BR47" s="150"/>
      <c r="BS47" s="150"/>
      <c r="BT47" s="150"/>
      <c r="BU47" s="150"/>
      <c r="BV47" s="150"/>
      <c r="BW47" s="150"/>
      <c r="BX47" s="150"/>
      <c r="BY47" s="150"/>
      <c r="BZ47" s="150"/>
      <c r="CA47" s="150"/>
      <c r="CB47" s="150"/>
      <c r="CC47" s="150"/>
      <c r="CD47" s="150"/>
      <c r="CE47" s="150"/>
      <c r="CF47" s="150"/>
      <c r="CG47" s="150"/>
      <c r="CH47" s="150"/>
      <c r="CI47" s="150"/>
      <c r="CJ47" s="150"/>
      <c r="CK47" s="150"/>
      <c r="CL47" s="150"/>
      <c r="CM47" s="150"/>
      <c r="CN47" s="150"/>
      <c r="CO47" s="150"/>
      <c r="CP47" s="150"/>
      <c r="CQ47" s="150"/>
      <c r="CR47" s="150"/>
      <c r="CS47" s="150"/>
      <c r="CT47" s="150"/>
      <c r="CU47" s="150"/>
    </row>
    <row r="48" spans="1:99" s="151" customFormat="1" ht="14.1" customHeight="1">
      <c r="A48" s="163" t="s">
        <v>68</v>
      </c>
      <c r="B48" s="151">
        <v>10</v>
      </c>
      <c r="C48" s="151">
        <f t="shared" ref="C48:R48" si="48">ROUND((($U$3*X$15)+($V$3*X$36)+($U$3*AP$15)+($V$3*AP$36)+($W$3*(1-(AP$15+AP$36)))+($W$3*(9-(X$15+X$36))))*$AO$11,0)</f>
        <v>20995</v>
      </c>
      <c r="D48" s="151">
        <f t="shared" si="48"/>
        <v>20995</v>
      </c>
      <c r="E48" s="151">
        <f t="shared" si="48"/>
        <v>20995</v>
      </c>
      <c r="F48" s="151">
        <f t="shared" si="48"/>
        <v>20995</v>
      </c>
      <c r="G48" s="151">
        <f t="shared" si="48"/>
        <v>21037</v>
      </c>
      <c r="H48" s="151">
        <f t="shared" si="48"/>
        <v>21121</v>
      </c>
      <c r="I48" s="151">
        <f t="shared" si="48"/>
        <v>21205</v>
      </c>
      <c r="J48" s="151">
        <f t="shared" si="48"/>
        <v>21289</v>
      </c>
      <c r="K48" s="151">
        <f t="shared" si="48"/>
        <v>21373</v>
      </c>
      <c r="L48" s="151">
        <f t="shared" si="48"/>
        <v>21457</v>
      </c>
      <c r="M48" s="151">
        <f t="shared" si="48"/>
        <v>21541</v>
      </c>
      <c r="N48" s="151">
        <f t="shared" si="48"/>
        <v>21625</v>
      </c>
      <c r="O48" s="151">
        <f t="shared" si="48"/>
        <v>21709</v>
      </c>
      <c r="P48" s="151">
        <f t="shared" si="48"/>
        <v>21751</v>
      </c>
      <c r="Q48" s="151">
        <f t="shared" si="48"/>
        <v>21751</v>
      </c>
      <c r="R48" s="151">
        <f t="shared" si="48"/>
        <v>21793</v>
      </c>
      <c r="V48" s="150"/>
      <c r="W48" s="150"/>
      <c r="X48" s="150"/>
      <c r="Y48" s="150"/>
      <c r="Z48" s="150"/>
      <c r="AA48" s="150"/>
      <c r="AB48" s="150"/>
      <c r="AC48" s="150"/>
      <c r="AD48" s="150"/>
      <c r="AE48" s="150"/>
      <c r="AF48" s="150"/>
      <c r="AG48" s="150"/>
      <c r="AH48" s="150"/>
      <c r="AI48" s="150"/>
      <c r="AJ48" s="150"/>
      <c r="AK48" s="150"/>
      <c r="AL48" s="150"/>
      <c r="AM48" s="150"/>
      <c r="AN48" s="150"/>
      <c r="AO48" s="150"/>
      <c r="AP48" s="150"/>
      <c r="AQ48" s="150"/>
      <c r="AR48" s="150"/>
      <c r="AS48" s="150"/>
      <c r="AT48" s="150"/>
      <c r="AU48" s="150"/>
      <c r="AV48" s="150"/>
      <c r="AW48" s="150"/>
      <c r="AX48" s="150"/>
      <c r="AY48" s="150"/>
      <c r="AZ48" s="150"/>
      <c r="BA48" s="150"/>
      <c r="BB48" s="150"/>
      <c r="BC48" s="150"/>
      <c r="BD48" s="150"/>
      <c r="BE48" s="150"/>
      <c r="BF48" s="150"/>
      <c r="BG48" s="150"/>
      <c r="BH48" s="150"/>
      <c r="BI48" s="150"/>
      <c r="BJ48" s="150"/>
      <c r="BK48" s="150"/>
      <c r="BL48" s="150"/>
      <c r="BM48" s="150"/>
      <c r="BN48" s="150"/>
      <c r="BO48" s="150"/>
      <c r="BP48" s="150"/>
      <c r="BQ48" s="150"/>
      <c r="BR48" s="150"/>
      <c r="BS48" s="150"/>
      <c r="BT48" s="150"/>
      <c r="BU48" s="150"/>
      <c r="BV48" s="150"/>
      <c r="BW48" s="150"/>
      <c r="BX48" s="150"/>
      <c r="BY48" s="150"/>
      <c r="BZ48" s="150"/>
      <c r="CA48" s="150"/>
      <c r="CB48" s="150"/>
      <c r="CC48" s="150"/>
      <c r="CD48" s="150"/>
      <c r="CE48" s="150"/>
      <c r="CF48" s="150"/>
      <c r="CG48" s="150"/>
      <c r="CH48" s="150"/>
      <c r="CI48" s="150"/>
      <c r="CJ48" s="150"/>
      <c r="CK48" s="150"/>
      <c r="CL48" s="150"/>
      <c r="CM48" s="150"/>
      <c r="CN48" s="150"/>
      <c r="CO48" s="150"/>
      <c r="CP48" s="150"/>
      <c r="CQ48" s="150"/>
      <c r="CR48" s="150"/>
      <c r="CS48" s="150"/>
      <c r="CT48" s="150"/>
      <c r="CU48" s="150"/>
    </row>
    <row r="49" spans="1:99" s="151" customFormat="1" ht="14.1" customHeight="1">
      <c r="A49" s="163" t="s">
        <v>70</v>
      </c>
      <c r="B49" s="151">
        <v>9</v>
      </c>
      <c r="C49" s="151">
        <f t="shared" ref="C49:R49" si="49">ROUND((($U$3*X$16)+($V$3*X$37)+($U$3*AP$16)+($V$3*AP$37)+($W$3*(0-(AP$16+AP$37)))+($W$3*(9-(X$16+X$37))))*$AO$11,0)</f>
        <v>18896</v>
      </c>
      <c r="D49" s="151">
        <f t="shared" si="49"/>
        <v>18896</v>
      </c>
      <c r="E49" s="151">
        <f t="shared" si="49"/>
        <v>18896</v>
      </c>
      <c r="F49" s="151">
        <f t="shared" si="49"/>
        <v>18896</v>
      </c>
      <c r="G49" s="151">
        <f t="shared" si="49"/>
        <v>18938</v>
      </c>
      <c r="H49" s="151">
        <f t="shared" si="49"/>
        <v>19022</v>
      </c>
      <c r="I49" s="151">
        <f t="shared" si="49"/>
        <v>19106</v>
      </c>
      <c r="J49" s="151">
        <f t="shared" si="49"/>
        <v>19190</v>
      </c>
      <c r="K49" s="151">
        <f t="shared" si="49"/>
        <v>19274</v>
      </c>
      <c r="L49" s="151">
        <f t="shared" si="49"/>
        <v>19358</v>
      </c>
      <c r="M49" s="151">
        <f t="shared" si="49"/>
        <v>19442</v>
      </c>
      <c r="N49" s="151">
        <f t="shared" si="49"/>
        <v>19526</v>
      </c>
      <c r="O49" s="151">
        <f t="shared" si="49"/>
        <v>19610</v>
      </c>
      <c r="P49" s="151">
        <f t="shared" si="49"/>
        <v>19652</v>
      </c>
      <c r="Q49" s="151">
        <f t="shared" si="49"/>
        <v>19652</v>
      </c>
      <c r="R49" s="151">
        <f t="shared" si="49"/>
        <v>19652</v>
      </c>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50"/>
      <c r="BY49" s="150"/>
      <c r="BZ49" s="150"/>
      <c r="CA49" s="150"/>
      <c r="CB49" s="150"/>
      <c r="CC49" s="150"/>
      <c r="CD49" s="150"/>
      <c r="CE49" s="150"/>
      <c r="CF49" s="150"/>
      <c r="CG49" s="150"/>
      <c r="CH49" s="150"/>
      <c r="CI49" s="150"/>
      <c r="CJ49" s="150"/>
      <c r="CK49" s="150"/>
      <c r="CL49" s="150"/>
      <c r="CM49" s="150"/>
      <c r="CN49" s="150"/>
      <c r="CO49" s="150"/>
      <c r="CP49" s="150"/>
      <c r="CQ49" s="150"/>
      <c r="CR49" s="150"/>
      <c r="CS49" s="150"/>
      <c r="CT49" s="150"/>
      <c r="CU49" s="150"/>
    </row>
    <row r="50" spans="1:99" s="151" customFormat="1" ht="14.1" customHeight="1">
      <c r="A50" s="163" t="s">
        <v>72</v>
      </c>
      <c r="B50" s="151">
        <v>3</v>
      </c>
      <c r="C50" s="151">
        <f t="shared" ref="C50:R50" si="50">ROUND((($U$3*X$17)+($V$3*X$38)+($U$3*AP$17)+($V$3*AP$38)+($W$3*(3-(AP$17+AP$38)))+($W$3*(0-(X$17+X$38))))*$AO$11,0)</f>
        <v>6299</v>
      </c>
      <c r="D50" s="151">
        <f t="shared" si="50"/>
        <v>6341</v>
      </c>
      <c r="E50" s="151">
        <f t="shared" si="50"/>
        <v>6383</v>
      </c>
      <c r="F50" s="151">
        <f t="shared" si="50"/>
        <v>6425</v>
      </c>
      <c r="G50" s="151">
        <f t="shared" si="50"/>
        <v>6425</v>
      </c>
      <c r="H50" s="151">
        <f t="shared" si="50"/>
        <v>6425</v>
      </c>
      <c r="I50" s="151">
        <f t="shared" si="50"/>
        <v>6425</v>
      </c>
      <c r="J50" s="151">
        <f t="shared" si="50"/>
        <v>6425</v>
      </c>
      <c r="K50" s="151">
        <f t="shared" si="50"/>
        <v>6425</v>
      </c>
      <c r="L50" s="151">
        <f t="shared" si="50"/>
        <v>6425</v>
      </c>
      <c r="M50" s="151">
        <f t="shared" si="50"/>
        <v>6425</v>
      </c>
      <c r="N50" s="151">
        <f t="shared" si="50"/>
        <v>6425</v>
      </c>
      <c r="O50" s="151">
        <f t="shared" si="50"/>
        <v>6425</v>
      </c>
      <c r="P50" s="151">
        <f t="shared" si="50"/>
        <v>6425</v>
      </c>
      <c r="Q50" s="151">
        <f t="shared" si="50"/>
        <v>6467</v>
      </c>
      <c r="R50" s="151">
        <f t="shared" si="50"/>
        <v>6509</v>
      </c>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0"/>
      <c r="BX50" s="150"/>
      <c r="BY50" s="150"/>
      <c r="BZ50" s="150"/>
      <c r="CA50" s="150"/>
      <c r="CB50" s="150"/>
      <c r="CC50" s="150"/>
      <c r="CD50" s="150"/>
      <c r="CE50" s="150"/>
      <c r="CF50" s="150"/>
      <c r="CG50" s="150"/>
      <c r="CH50" s="150"/>
      <c r="CI50" s="150"/>
      <c r="CJ50" s="150"/>
      <c r="CK50" s="150"/>
      <c r="CL50" s="150"/>
      <c r="CM50" s="150"/>
      <c r="CN50" s="150"/>
      <c r="CO50" s="150"/>
      <c r="CP50" s="150"/>
      <c r="CQ50" s="150"/>
      <c r="CR50" s="150"/>
      <c r="CS50" s="150"/>
      <c r="CT50" s="150"/>
      <c r="CU50" s="150"/>
    </row>
    <row r="51" spans="1:99" s="151" customFormat="1" ht="14.1" customHeight="1">
      <c r="A51" s="163" t="s">
        <v>75</v>
      </c>
      <c r="B51" s="151">
        <v>2</v>
      </c>
      <c r="C51" s="151">
        <f t="shared" ref="C51:R51" si="51">ROUND((($U$3*X$18)+($V$3*X$39)+($U$3*AP$18)+($V$3*AP$39)+($W$3*(2-(AP$18+AP$39)))+($W$3*(0-(X$18+X$39))))*$AO$11,0)</f>
        <v>4199</v>
      </c>
      <c r="D51" s="151">
        <f t="shared" si="51"/>
        <v>4199</v>
      </c>
      <c r="E51" s="151">
        <f t="shared" si="51"/>
        <v>4199</v>
      </c>
      <c r="F51" s="151">
        <f t="shared" si="51"/>
        <v>4241</v>
      </c>
      <c r="G51" s="151">
        <f t="shared" si="51"/>
        <v>4241</v>
      </c>
      <c r="H51" s="151">
        <f t="shared" si="51"/>
        <v>4241</v>
      </c>
      <c r="I51" s="151">
        <f t="shared" si="51"/>
        <v>4241</v>
      </c>
      <c r="J51" s="151">
        <f t="shared" si="51"/>
        <v>4241</v>
      </c>
      <c r="K51" s="151">
        <f t="shared" si="51"/>
        <v>4241</v>
      </c>
      <c r="L51" s="151">
        <f t="shared" si="51"/>
        <v>4241</v>
      </c>
      <c r="M51" s="151">
        <f t="shared" si="51"/>
        <v>4241</v>
      </c>
      <c r="N51" s="151">
        <f t="shared" si="51"/>
        <v>4241</v>
      </c>
      <c r="O51" s="151">
        <f t="shared" si="51"/>
        <v>4241</v>
      </c>
      <c r="P51" s="151">
        <f t="shared" si="51"/>
        <v>4241</v>
      </c>
      <c r="Q51" s="151">
        <f t="shared" si="51"/>
        <v>4283</v>
      </c>
      <c r="R51" s="151">
        <f t="shared" si="51"/>
        <v>4325</v>
      </c>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row>
    <row r="52" spans="1:99" s="151" customFormat="1" ht="14.1" customHeight="1">
      <c r="A52" s="163" t="s">
        <v>77</v>
      </c>
      <c r="B52" s="151">
        <v>1</v>
      </c>
      <c r="C52" s="151">
        <f t="shared" ref="C52:R52" si="52">ROUND((($U$3*X$19)+($V$3*X$40)+($U$3*AP$19)+($V$3*AP$40)+($W$3*(1-(AP$19+AP$40)))+($W$3*(0-(X$19+X$40))))*$AO$11,0)</f>
        <v>2100</v>
      </c>
      <c r="D52" s="151">
        <f t="shared" si="52"/>
        <v>2100</v>
      </c>
      <c r="E52" s="151">
        <f t="shared" si="52"/>
        <v>2100</v>
      </c>
      <c r="F52" s="151">
        <f t="shared" si="52"/>
        <v>2100</v>
      </c>
      <c r="G52" s="151">
        <f t="shared" si="52"/>
        <v>2100</v>
      </c>
      <c r="H52" s="151">
        <f t="shared" si="52"/>
        <v>2100</v>
      </c>
      <c r="I52" s="151">
        <f t="shared" si="52"/>
        <v>2100</v>
      </c>
      <c r="J52" s="151">
        <f t="shared" si="52"/>
        <v>2100</v>
      </c>
      <c r="K52" s="151">
        <f t="shared" si="52"/>
        <v>2100</v>
      </c>
      <c r="L52" s="151">
        <f t="shared" si="52"/>
        <v>2100</v>
      </c>
      <c r="M52" s="151">
        <f t="shared" si="52"/>
        <v>2100</v>
      </c>
      <c r="N52" s="151">
        <f t="shared" si="52"/>
        <v>2100</v>
      </c>
      <c r="O52" s="151">
        <f t="shared" si="52"/>
        <v>2100</v>
      </c>
      <c r="P52" s="151">
        <f t="shared" si="52"/>
        <v>2100</v>
      </c>
      <c r="Q52" s="151">
        <f t="shared" si="52"/>
        <v>2100</v>
      </c>
      <c r="R52" s="151">
        <f t="shared" si="52"/>
        <v>2142</v>
      </c>
      <c r="V52" s="150"/>
      <c r="W52" s="150"/>
      <c r="X52" s="150"/>
      <c r="Y52" s="150"/>
      <c r="Z52" s="150"/>
      <c r="AA52" s="150"/>
      <c r="AB52" s="150"/>
      <c r="AC52" s="150"/>
      <c r="AD52" s="150"/>
      <c r="AE52" s="150"/>
      <c r="AF52" s="150"/>
      <c r="AG52" s="150"/>
      <c r="AH52" s="150"/>
      <c r="AI52" s="150"/>
      <c r="AJ52" s="150"/>
      <c r="AK52" s="150"/>
      <c r="AL52" s="150"/>
      <c r="AM52" s="150"/>
      <c r="AN52" s="150"/>
      <c r="AO52" s="150"/>
      <c r="AP52" s="150"/>
      <c r="AQ52" s="150"/>
      <c r="AR52" s="150"/>
      <c r="AS52" s="150"/>
      <c r="AT52" s="150"/>
      <c r="AU52" s="150"/>
      <c r="AV52" s="150"/>
      <c r="AW52" s="150"/>
      <c r="AX52" s="150"/>
      <c r="AY52" s="150"/>
      <c r="AZ52" s="150"/>
      <c r="BA52" s="150"/>
      <c r="BB52" s="150"/>
      <c r="BC52" s="150"/>
      <c r="BD52" s="150"/>
      <c r="BE52" s="150"/>
      <c r="BF52" s="150"/>
      <c r="BG52" s="150"/>
      <c r="BH52" s="150"/>
      <c r="BI52" s="150"/>
      <c r="BJ52" s="150"/>
      <c r="BK52" s="150"/>
      <c r="BL52" s="150"/>
      <c r="BM52" s="150"/>
      <c r="BN52" s="150"/>
      <c r="BO52" s="150"/>
      <c r="BP52" s="150"/>
      <c r="BQ52" s="150"/>
      <c r="BR52" s="150"/>
      <c r="BS52" s="150"/>
      <c r="BT52" s="150"/>
      <c r="BU52" s="150"/>
      <c r="BV52" s="150"/>
      <c r="BW52" s="150"/>
      <c r="BX52" s="150"/>
      <c r="BY52" s="150"/>
      <c r="BZ52" s="150"/>
      <c r="CA52" s="150"/>
      <c r="CB52" s="150"/>
      <c r="CC52" s="150"/>
      <c r="CD52" s="150"/>
      <c r="CE52" s="150"/>
      <c r="CF52" s="150"/>
      <c r="CG52" s="150"/>
      <c r="CH52" s="150"/>
      <c r="CI52" s="150"/>
      <c r="CJ52" s="150"/>
      <c r="CK52" s="150"/>
      <c r="CL52" s="150"/>
      <c r="CM52" s="150"/>
      <c r="CN52" s="150"/>
      <c r="CO52" s="150"/>
      <c r="CP52" s="150"/>
      <c r="CQ52" s="150"/>
      <c r="CR52" s="150"/>
      <c r="CS52" s="150"/>
      <c r="CT52" s="150"/>
      <c r="CU52" s="150"/>
    </row>
    <row r="53" spans="1:99" s="151" customFormat="1" ht="14.1" customHeight="1">
      <c r="A53" s="150"/>
      <c r="B53" s="150"/>
      <c r="C53" s="150"/>
      <c r="D53" s="150"/>
      <c r="E53" s="150"/>
      <c r="F53" s="150"/>
      <c r="G53" s="150"/>
      <c r="H53" s="150"/>
      <c r="I53" s="150"/>
      <c r="J53" s="150"/>
      <c r="K53" s="150"/>
      <c r="L53" s="150"/>
      <c r="M53" s="150"/>
      <c r="N53" s="150"/>
      <c r="O53" s="150"/>
      <c r="P53" s="150"/>
      <c r="Q53" s="150"/>
      <c r="R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0"/>
      <c r="BQ53" s="150"/>
      <c r="BR53" s="150"/>
      <c r="BS53" s="150"/>
      <c r="BT53" s="150"/>
      <c r="BU53" s="150"/>
      <c r="BV53" s="150"/>
      <c r="BW53" s="150"/>
      <c r="BX53" s="150"/>
      <c r="BY53" s="150"/>
      <c r="BZ53" s="150"/>
      <c r="CA53" s="150"/>
      <c r="CB53" s="150"/>
      <c r="CC53" s="150"/>
      <c r="CD53" s="150"/>
      <c r="CE53" s="150"/>
      <c r="CF53" s="150"/>
      <c r="CG53" s="150"/>
      <c r="CH53" s="150"/>
      <c r="CI53" s="150"/>
      <c r="CJ53" s="150"/>
      <c r="CK53" s="150"/>
      <c r="CL53" s="150"/>
      <c r="CM53" s="150"/>
      <c r="CN53" s="150"/>
      <c r="CO53" s="150"/>
      <c r="CP53" s="150"/>
      <c r="CQ53" s="150"/>
      <c r="CR53" s="150"/>
      <c r="CS53" s="150"/>
      <c r="CT53" s="150"/>
      <c r="CU53" s="150"/>
    </row>
    <row r="54" spans="1:99" s="151" customFormat="1" ht="14.1" customHeight="1">
      <c r="A54" s="149" t="s">
        <v>328</v>
      </c>
      <c r="B54" s="164"/>
      <c r="C54" s="165"/>
      <c r="D54" s="165"/>
      <c r="E54" s="165"/>
      <c r="F54" s="165"/>
      <c r="G54" s="165"/>
      <c r="H54" s="165"/>
      <c r="I54" s="165"/>
      <c r="J54" s="165"/>
      <c r="K54" s="165"/>
      <c r="L54" s="165"/>
      <c r="M54" s="165"/>
      <c r="N54" s="165"/>
      <c r="O54" s="165"/>
      <c r="P54" s="165"/>
      <c r="Q54" s="165"/>
      <c r="R54" s="165"/>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50"/>
      <c r="BY54" s="150"/>
      <c r="BZ54" s="150"/>
      <c r="CA54" s="150"/>
      <c r="CB54" s="150"/>
      <c r="CC54" s="150"/>
      <c r="CD54" s="150"/>
      <c r="CE54" s="150"/>
      <c r="CF54" s="150"/>
      <c r="CG54" s="150"/>
      <c r="CH54" s="150"/>
      <c r="CI54" s="150"/>
      <c r="CJ54" s="150"/>
      <c r="CK54" s="150"/>
      <c r="CL54" s="150"/>
      <c r="CM54" s="150"/>
      <c r="CN54" s="150"/>
      <c r="CO54" s="150"/>
      <c r="CP54" s="150"/>
      <c r="CQ54" s="150"/>
      <c r="CR54" s="150"/>
      <c r="CS54" s="150"/>
      <c r="CT54" s="150"/>
      <c r="CU54" s="150"/>
    </row>
    <row r="55" spans="1:99" s="151" customFormat="1" ht="14.1" customHeight="1">
      <c r="A55" s="111"/>
      <c r="B55" s="166" t="s">
        <v>54</v>
      </c>
      <c r="C55" s="165"/>
      <c r="D55" s="165"/>
      <c r="E55" s="165"/>
      <c r="F55" s="165"/>
      <c r="G55" s="165"/>
      <c r="H55" s="165"/>
      <c r="I55" s="165"/>
      <c r="J55" s="165"/>
      <c r="K55" s="165"/>
      <c r="L55" s="165"/>
      <c r="M55" s="165"/>
      <c r="N55" s="165"/>
      <c r="O55" s="165"/>
      <c r="P55" s="165"/>
      <c r="Q55" s="165"/>
      <c r="R55" s="165"/>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150"/>
      <c r="AZ55" s="150"/>
      <c r="BA55" s="150"/>
      <c r="BB55" s="150"/>
      <c r="BC55" s="150"/>
      <c r="BD55" s="150"/>
      <c r="BE55" s="150"/>
      <c r="BF55" s="150"/>
      <c r="BG55" s="150"/>
      <c r="BH55" s="150"/>
      <c r="BI55" s="150"/>
      <c r="BJ55" s="150"/>
      <c r="BK55" s="150"/>
      <c r="BL55" s="150"/>
      <c r="BM55" s="150"/>
      <c r="BN55" s="150"/>
      <c r="BO55" s="150"/>
      <c r="BP55" s="150"/>
      <c r="BQ55" s="150"/>
      <c r="BR55" s="150"/>
      <c r="BS55" s="150"/>
      <c r="BT55" s="150"/>
      <c r="BU55" s="150"/>
      <c r="BV55" s="150"/>
      <c r="BW55" s="150"/>
      <c r="BX55" s="150"/>
      <c r="BY55" s="150"/>
      <c r="BZ55" s="150"/>
      <c r="CA55" s="150"/>
      <c r="CB55" s="150"/>
      <c r="CC55" s="150"/>
      <c r="CD55" s="150"/>
      <c r="CE55" s="150"/>
      <c r="CF55" s="150"/>
      <c r="CG55" s="150"/>
      <c r="CH55" s="150"/>
      <c r="CI55" s="150"/>
      <c r="CJ55" s="150"/>
      <c r="CK55" s="150"/>
      <c r="CL55" s="150"/>
      <c r="CM55" s="150"/>
      <c r="CN55" s="150"/>
      <c r="CO55" s="150"/>
      <c r="CP55" s="150"/>
      <c r="CQ55" s="150"/>
      <c r="CR55" s="150"/>
      <c r="CS55" s="150"/>
      <c r="CT55" s="150"/>
      <c r="CU55" s="150"/>
    </row>
    <row r="56" spans="1:99" s="151" customFormat="1" ht="14.1" customHeight="1">
      <c r="A56" s="172"/>
      <c r="B56" s="173" t="s">
        <v>58</v>
      </c>
      <c r="C56" s="174">
        <f>C12</f>
        <v>44012</v>
      </c>
      <c r="D56" s="174">
        <f t="shared" ref="D56:R56" si="53">D12</f>
        <v>44027</v>
      </c>
      <c r="E56" s="174">
        <f t="shared" si="53"/>
        <v>44043</v>
      </c>
      <c r="F56" s="174">
        <f t="shared" si="53"/>
        <v>44058</v>
      </c>
      <c r="G56" s="174">
        <f t="shared" si="53"/>
        <v>44074</v>
      </c>
      <c r="H56" s="174">
        <f t="shared" si="53"/>
        <v>44104</v>
      </c>
      <c r="I56" s="174">
        <f t="shared" si="53"/>
        <v>44135</v>
      </c>
      <c r="J56" s="174">
        <f t="shared" si="53"/>
        <v>44165</v>
      </c>
      <c r="K56" s="174">
        <f t="shared" si="53"/>
        <v>44196</v>
      </c>
      <c r="L56" s="174">
        <f t="shared" si="53"/>
        <v>44227</v>
      </c>
      <c r="M56" s="174">
        <f t="shared" si="53"/>
        <v>44255</v>
      </c>
      <c r="N56" s="174">
        <f t="shared" si="53"/>
        <v>44286</v>
      </c>
      <c r="O56" s="174">
        <f t="shared" si="53"/>
        <v>44316</v>
      </c>
      <c r="P56" s="174">
        <f t="shared" si="53"/>
        <v>44331</v>
      </c>
      <c r="Q56" s="174">
        <f t="shared" si="53"/>
        <v>44347</v>
      </c>
      <c r="R56" s="174">
        <f t="shared" si="53"/>
        <v>44362</v>
      </c>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50"/>
      <c r="BY56" s="150"/>
      <c r="BZ56" s="150"/>
      <c r="CA56" s="150"/>
      <c r="CB56" s="150"/>
      <c r="CC56" s="150"/>
      <c r="CD56" s="150"/>
      <c r="CE56" s="150"/>
      <c r="CF56" s="150"/>
      <c r="CG56" s="150"/>
      <c r="CH56" s="150"/>
      <c r="CI56" s="150"/>
      <c r="CJ56" s="150"/>
      <c r="CK56" s="150"/>
      <c r="CL56" s="150"/>
      <c r="CM56" s="150"/>
      <c r="CN56" s="150"/>
      <c r="CO56" s="150"/>
      <c r="CP56" s="150"/>
      <c r="CQ56" s="150"/>
      <c r="CR56" s="150"/>
      <c r="CS56" s="150"/>
      <c r="CT56" s="150"/>
      <c r="CU56" s="150"/>
    </row>
    <row r="57" spans="1:99" s="151" customFormat="1" ht="14.1" customHeight="1">
      <c r="A57" s="163" t="s">
        <v>59</v>
      </c>
      <c r="B57" s="151">
        <v>12</v>
      </c>
      <c r="C57" s="151">
        <f t="shared" ref="C57:R57" si="54">ROUND((($U$4*X$13)+($V$4*X$34)+($U$4*AP$13)+($V$4*AP$34)+($W$4*(3-(AP$13+AP$34)))+($W$4*(9-(X$13+X$34))))*$AO$11,0)</f>
        <v>24708</v>
      </c>
      <c r="D57" s="151">
        <f t="shared" si="54"/>
        <v>24749</v>
      </c>
      <c r="E57" s="151">
        <f t="shared" si="54"/>
        <v>24791</v>
      </c>
      <c r="F57" s="151">
        <f t="shared" si="54"/>
        <v>24832</v>
      </c>
      <c r="G57" s="151">
        <f t="shared" si="54"/>
        <v>24873</v>
      </c>
      <c r="H57" s="151">
        <f t="shared" si="54"/>
        <v>24956</v>
      </c>
      <c r="I57" s="151">
        <f t="shared" si="54"/>
        <v>25038</v>
      </c>
      <c r="J57" s="151">
        <f t="shared" si="54"/>
        <v>25121</v>
      </c>
      <c r="K57" s="151">
        <f t="shared" si="54"/>
        <v>25203</v>
      </c>
      <c r="L57" s="151">
        <f t="shared" si="54"/>
        <v>25286</v>
      </c>
      <c r="M57" s="151">
        <f t="shared" si="54"/>
        <v>25368</v>
      </c>
      <c r="N57" s="151">
        <f t="shared" si="54"/>
        <v>25451</v>
      </c>
      <c r="O57" s="151">
        <f t="shared" si="54"/>
        <v>25533</v>
      </c>
      <c r="P57" s="151">
        <f t="shared" si="54"/>
        <v>25574</v>
      </c>
      <c r="Q57" s="151">
        <f t="shared" si="54"/>
        <v>25616</v>
      </c>
      <c r="R57" s="151">
        <f t="shared" si="54"/>
        <v>25657</v>
      </c>
      <c r="V57" s="150"/>
      <c r="W57" s="150"/>
      <c r="X57" s="150"/>
      <c r="Y57" s="150"/>
      <c r="Z57" s="150"/>
      <c r="AA57" s="150"/>
      <c r="AB57" s="150"/>
      <c r="AC57" s="150"/>
      <c r="AD57" s="150"/>
      <c r="AE57" s="150"/>
      <c r="AF57" s="150"/>
      <c r="AG57" s="150"/>
      <c r="AH57" s="150"/>
      <c r="AI57" s="150"/>
      <c r="AJ57" s="150"/>
      <c r="AK57" s="150"/>
      <c r="AL57" s="150"/>
      <c r="AM57" s="150"/>
      <c r="AN57" s="150"/>
      <c r="AO57" s="150"/>
      <c r="AP57" s="150"/>
      <c r="AQ57" s="150"/>
      <c r="AR57" s="150"/>
      <c r="AS57" s="150"/>
      <c r="AT57" s="150"/>
      <c r="AU57" s="150"/>
      <c r="AV57" s="150"/>
      <c r="AW57" s="150"/>
      <c r="AX57" s="150"/>
      <c r="AY57" s="150"/>
      <c r="AZ57" s="150"/>
      <c r="BA57" s="150"/>
      <c r="BB57" s="150"/>
      <c r="BC57" s="150"/>
      <c r="BD57" s="150"/>
      <c r="BE57" s="150"/>
      <c r="BF57" s="150"/>
      <c r="BG57" s="150"/>
      <c r="BH57" s="150"/>
      <c r="BI57" s="150"/>
      <c r="BJ57" s="150"/>
      <c r="BK57" s="150"/>
      <c r="BL57" s="150"/>
      <c r="BM57" s="150"/>
      <c r="BN57" s="150"/>
      <c r="BO57" s="150"/>
      <c r="BP57" s="150"/>
      <c r="BQ57" s="150"/>
      <c r="BR57" s="150"/>
      <c r="BS57" s="150"/>
      <c r="BT57" s="150"/>
      <c r="BU57" s="150"/>
      <c r="BV57" s="150"/>
      <c r="BW57" s="150"/>
      <c r="BX57" s="150"/>
      <c r="BY57" s="150"/>
      <c r="BZ57" s="150"/>
      <c r="CA57" s="150"/>
      <c r="CB57" s="150"/>
      <c r="CC57" s="150"/>
      <c r="CD57" s="150"/>
      <c r="CE57" s="150"/>
      <c r="CF57" s="150"/>
      <c r="CG57" s="150"/>
      <c r="CH57" s="150"/>
      <c r="CI57" s="150"/>
      <c r="CJ57" s="150"/>
      <c r="CK57" s="150"/>
      <c r="CL57" s="150"/>
      <c r="CM57" s="150"/>
      <c r="CN57" s="150"/>
      <c r="CO57" s="150"/>
      <c r="CP57" s="150"/>
      <c r="CQ57" s="150"/>
      <c r="CR57" s="150"/>
      <c r="CS57" s="150"/>
      <c r="CT57" s="150"/>
      <c r="CU57" s="150"/>
    </row>
    <row r="58" spans="1:99" s="151" customFormat="1" ht="14.1" customHeight="1">
      <c r="A58" s="163" t="s">
        <v>64</v>
      </c>
      <c r="B58" s="151">
        <v>11</v>
      </c>
      <c r="C58" s="151">
        <f t="shared" ref="C58:R58" si="55">ROUND((($U$4*X$14)+($V$4*X$35)+($U$4*AP$14)+($V$4*AP$35)+($W$4*(2-(AP$14+AP$35)))+($W$4*(9-(X$14+X$35))))*$AO$11,0)</f>
        <v>22649</v>
      </c>
      <c r="D58" s="151">
        <f t="shared" si="55"/>
        <v>22649</v>
      </c>
      <c r="E58" s="151">
        <f t="shared" si="55"/>
        <v>22649</v>
      </c>
      <c r="F58" s="151">
        <f t="shared" si="55"/>
        <v>22690</v>
      </c>
      <c r="G58" s="151">
        <f t="shared" si="55"/>
        <v>22732</v>
      </c>
      <c r="H58" s="151">
        <f t="shared" si="55"/>
        <v>22814</v>
      </c>
      <c r="I58" s="151">
        <f t="shared" si="55"/>
        <v>22897</v>
      </c>
      <c r="J58" s="151">
        <f t="shared" si="55"/>
        <v>22979</v>
      </c>
      <c r="K58" s="151">
        <f t="shared" si="55"/>
        <v>23062</v>
      </c>
      <c r="L58" s="151">
        <f t="shared" si="55"/>
        <v>23144</v>
      </c>
      <c r="M58" s="151">
        <f t="shared" si="55"/>
        <v>23227</v>
      </c>
      <c r="N58" s="151">
        <f t="shared" si="55"/>
        <v>23309</v>
      </c>
      <c r="O58" s="151">
        <f t="shared" si="55"/>
        <v>23392</v>
      </c>
      <c r="P58" s="151">
        <f t="shared" si="55"/>
        <v>23433</v>
      </c>
      <c r="Q58" s="151">
        <f t="shared" si="55"/>
        <v>23474</v>
      </c>
      <c r="R58" s="151">
        <f t="shared" si="55"/>
        <v>23515</v>
      </c>
      <c r="V58" s="150"/>
      <c r="W58" s="150"/>
      <c r="X58" s="150"/>
      <c r="Y58" s="150"/>
      <c r="Z58" s="150"/>
      <c r="AA58" s="150"/>
      <c r="AB58" s="150"/>
      <c r="AC58" s="150"/>
      <c r="AD58" s="150"/>
      <c r="AE58" s="150"/>
      <c r="AF58" s="150"/>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0"/>
      <c r="BG58" s="150"/>
      <c r="BH58" s="150"/>
      <c r="BI58" s="150"/>
      <c r="BJ58" s="150"/>
      <c r="BK58" s="150"/>
      <c r="BL58" s="150"/>
      <c r="BM58" s="150"/>
      <c r="BN58" s="150"/>
      <c r="BO58" s="150"/>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0"/>
      <c r="CP58" s="150"/>
      <c r="CQ58" s="150"/>
      <c r="CR58" s="150"/>
      <c r="CS58" s="150"/>
      <c r="CT58" s="150"/>
      <c r="CU58" s="150"/>
    </row>
    <row r="59" spans="1:99" s="151" customFormat="1" ht="14.1" customHeight="1">
      <c r="A59" s="163" t="s">
        <v>68</v>
      </c>
      <c r="B59" s="151">
        <v>10</v>
      </c>
      <c r="C59" s="151">
        <f t="shared" ref="C59:R59" si="56">ROUND((($U$4*X$15)+($V$4*X$36)+($U$4*AP$15)+($V$4*AP$36)+($W$4*(1-(AP$15+AP$36)))+($W$4*(9-(X$15+X$36))))*$AO$11,0)</f>
        <v>20590</v>
      </c>
      <c r="D59" s="151">
        <f t="shared" si="56"/>
        <v>20590</v>
      </c>
      <c r="E59" s="151">
        <f t="shared" si="56"/>
        <v>20590</v>
      </c>
      <c r="F59" s="151">
        <f t="shared" si="56"/>
        <v>20590</v>
      </c>
      <c r="G59" s="151">
        <f t="shared" si="56"/>
        <v>20631</v>
      </c>
      <c r="H59" s="151">
        <f t="shared" si="56"/>
        <v>20714</v>
      </c>
      <c r="I59" s="151">
        <f t="shared" si="56"/>
        <v>20796</v>
      </c>
      <c r="J59" s="151">
        <f t="shared" si="56"/>
        <v>20879</v>
      </c>
      <c r="K59" s="151">
        <f t="shared" si="56"/>
        <v>20961</v>
      </c>
      <c r="L59" s="151">
        <f t="shared" si="56"/>
        <v>21044</v>
      </c>
      <c r="M59" s="151">
        <f t="shared" si="56"/>
        <v>21126</v>
      </c>
      <c r="N59" s="151">
        <f t="shared" si="56"/>
        <v>21209</v>
      </c>
      <c r="O59" s="151">
        <f t="shared" si="56"/>
        <v>21291</v>
      </c>
      <c r="P59" s="151">
        <f t="shared" si="56"/>
        <v>21333</v>
      </c>
      <c r="Q59" s="151">
        <f t="shared" si="56"/>
        <v>21333</v>
      </c>
      <c r="R59" s="151">
        <f t="shared" si="56"/>
        <v>21374</v>
      </c>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0"/>
      <c r="BC59" s="150"/>
      <c r="BD59" s="150"/>
      <c r="BE59" s="150"/>
      <c r="BF59" s="150"/>
      <c r="BG59" s="150"/>
      <c r="BH59" s="150"/>
      <c r="BI59" s="150"/>
      <c r="BJ59" s="150"/>
      <c r="BK59" s="150"/>
      <c r="BL59" s="150"/>
      <c r="BM59" s="150"/>
      <c r="BN59" s="150"/>
      <c r="BO59" s="150"/>
      <c r="BP59" s="150"/>
      <c r="BQ59" s="150"/>
      <c r="BR59" s="150"/>
      <c r="BS59" s="150"/>
      <c r="BT59" s="150"/>
      <c r="BU59" s="150"/>
      <c r="BV59" s="150"/>
      <c r="BW59" s="150"/>
      <c r="BX59" s="150"/>
      <c r="BY59" s="150"/>
      <c r="BZ59" s="150"/>
      <c r="CA59" s="150"/>
      <c r="CB59" s="150"/>
      <c r="CC59" s="150"/>
      <c r="CD59" s="150"/>
      <c r="CE59" s="150"/>
      <c r="CF59" s="150"/>
      <c r="CG59" s="150"/>
      <c r="CH59" s="150"/>
      <c r="CI59" s="150"/>
      <c r="CJ59" s="150"/>
      <c r="CK59" s="150"/>
      <c r="CL59" s="150"/>
      <c r="CM59" s="150"/>
      <c r="CN59" s="150"/>
      <c r="CO59" s="150"/>
      <c r="CP59" s="150"/>
      <c r="CQ59" s="150"/>
      <c r="CR59" s="150"/>
      <c r="CS59" s="150"/>
      <c r="CT59" s="150"/>
      <c r="CU59" s="150"/>
    </row>
    <row r="60" spans="1:99" s="151" customFormat="1" ht="14.1" customHeight="1">
      <c r="A60" s="163" t="s">
        <v>70</v>
      </c>
      <c r="B60" s="151">
        <v>9</v>
      </c>
      <c r="C60" s="151">
        <f t="shared" ref="C60:R60" si="57">ROUND((($U$4*X$16)+($V$4*X$37)+($U$4*AP$16)+($V$4*AP$37)+($W$4*(0-(AP$16+AP$37)))+($W$4*(9-(X$16+X$37))))*$AO$11,0)</f>
        <v>18531</v>
      </c>
      <c r="D60" s="151">
        <f t="shared" si="57"/>
        <v>18531</v>
      </c>
      <c r="E60" s="151">
        <f t="shared" si="57"/>
        <v>18531</v>
      </c>
      <c r="F60" s="151">
        <f t="shared" si="57"/>
        <v>18531</v>
      </c>
      <c r="G60" s="151">
        <f t="shared" si="57"/>
        <v>18572</v>
      </c>
      <c r="H60" s="151">
        <f t="shared" si="57"/>
        <v>18655</v>
      </c>
      <c r="I60" s="151">
        <f t="shared" si="57"/>
        <v>18737</v>
      </c>
      <c r="J60" s="151">
        <f t="shared" si="57"/>
        <v>18820</v>
      </c>
      <c r="K60" s="151">
        <f t="shared" si="57"/>
        <v>18902</v>
      </c>
      <c r="L60" s="151">
        <f t="shared" si="57"/>
        <v>18985</v>
      </c>
      <c r="M60" s="151">
        <f t="shared" si="57"/>
        <v>19067</v>
      </c>
      <c r="N60" s="151">
        <f t="shared" si="57"/>
        <v>19150</v>
      </c>
      <c r="O60" s="151">
        <f t="shared" si="57"/>
        <v>19232</v>
      </c>
      <c r="P60" s="151">
        <f t="shared" si="57"/>
        <v>19274</v>
      </c>
      <c r="Q60" s="151">
        <f t="shared" si="57"/>
        <v>19274</v>
      </c>
      <c r="R60" s="151">
        <f t="shared" si="57"/>
        <v>19274</v>
      </c>
      <c r="V60" s="150"/>
      <c r="W60" s="150"/>
      <c r="X60" s="150"/>
      <c r="Y60" s="150"/>
      <c r="Z60" s="150"/>
      <c r="AA60" s="150"/>
      <c r="AB60" s="150"/>
      <c r="AC60" s="150"/>
      <c r="AD60" s="150"/>
      <c r="AE60" s="150"/>
      <c r="AF60" s="150"/>
      <c r="AG60" s="150"/>
      <c r="AH60" s="150"/>
      <c r="AI60" s="150"/>
      <c r="AJ60" s="150"/>
      <c r="AK60" s="150"/>
      <c r="AL60" s="150"/>
      <c r="AM60" s="150"/>
      <c r="AN60" s="150"/>
      <c r="AO60" s="150"/>
      <c r="AP60" s="150"/>
      <c r="AQ60" s="150"/>
      <c r="AR60" s="150"/>
      <c r="AS60" s="150"/>
      <c r="AT60" s="150"/>
      <c r="AU60" s="150"/>
      <c r="AV60" s="150"/>
      <c r="AW60" s="150"/>
      <c r="AX60" s="150"/>
      <c r="AY60" s="150"/>
      <c r="AZ60" s="150"/>
      <c r="BA60" s="150"/>
      <c r="BB60" s="150"/>
      <c r="BC60" s="150"/>
      <c r="BD60" s="150"/>
      <c r="BE60" s="150"/>
      <c r="BF60" s="150"/>
      <c r="BG60" s="150"/>
      <c r="BH60" s="150"/>
      <c r="BI60" s="150"/>
      <c r="BJ60" s="150"/>
      <c r="BK60" s="150"/>
      <c r="BL60" s="150"/>
      <c r="BM60" s="150"/>
      <c r="BN60" s="150"/>
      <c r="BO60" s="150"/>
      <c r="BP60" s="150"/>
      <c r="BQ60" s="150"/>
      <c r="BR60" s="150"/>
      <c r="BS60" s="150"/>
      <c r="BT60" s="150"/>
      <c r="BU60" s="150"/>
      <c r="BV60" s="150"/>
      <c r="BW60" s="150"/>
      <c r="BX60" s="150"/>
      <c r="BY60" s="150"/>
      <c r="BZ60" s="150"/>
      <c r="CA60" s="150"/>
      <c r="CB60" s="150"/>
      <c r="CC60" s="150"/>
      <c r="CD60" s="150"/>
      <c r="CE60" s="150"/>
      <c r="CF60" s="150"/>
      <c r="CG60" s="150"/>
      <c r="CH60" s="150"/>
      <c r="CI60" s="150"/>
      <c r="CJ60" s="150"/>
      <c r="CK60" s="150"/>
      <c r="CL60" s="150"/>
      <c r="CM60" s="150"/>
      <c r="CN60" s="150"/>
      <c r="CO60" s="150"/>
      <c r="CP60" s="150"/>
      <c r="CQ60" s="150"/>
      <c r="CR60" s="150"/>
      <c r="CS60" s="150"/>
      <c r="CT60" s="150"/>
      <c r="CU60" s="150"/>
    </row>
    <row r="61" spans="1:99" s="151" customFormat="1" ht="14.1" customHeight="1">
      <c r="A61" s="163" t="s">
        <v>72</v>
      </c>
      <c r="B61" s="151">
        <v>3</v>
      </c>
      <c r="C61" s="151">
        <f t="shared" ref="C61:R61" si="58">ROUND((($U$4*X$17)+($V$4*X$38)+($U$4*AP$17)+($V$4*AP$38)+($W$4*(3-(AP$17+AP$38)))+($W$4*(0-(X$17+X$38))))*$AO$11,0)</f>
        <v>6177</v>
      </c>
      <c r="D61" s="151">
        <f t="shared" si="58"/>
        <v>6218</v>
      </c>
      <c r="E61" s="151">
        <f t="shared" si="58"/>
        <v>6260</v>
      </c>
      <c r="F61" s="151">
        <f t="shared" si="58"/>
        <v>6301</v>
      </c>
      <c r="G61" s="151">
        <f t="shared" si="58"/>
        <v>6301</v>
      </c>
      <c r="H61" s="151">
        <f t="shared" si="58"/>
        <v>6301</v>
      </c>
      <c r="I61" s="151">
        <f t="shared" si="58"/>
        <v>6301</v>
      </c>
      <c r="J61" s="151">
        <f t="shared" si="58"/>
        <v>6301</v>
      </c>
      <c r="K61" s="151">
        <f t="shared" si="58"/>
        <v>6301</v>
      </c>
      <c r="L61" s="151">
        <f t="shared" si="58"/>
        <v>6301</v>
      </c>
      <c r="M61" s="151">
        <f t="shared" si="58"/>
        <v>6301</v>
      </c>
      <c r="N61" s="151">
        <f t="shared" si="58"/>
        <v>6301</v>
      </c>
      <c r="O61" s="151">
        <f t="shared" si="58"/>
        <v>6301</v>
      </c>
      <c r="P61" s="151">
        <f t="shared" si="58"/>
        <v>6301</v>
      </c>
      <c r="Q61" s="151">
        <f t="shared" si="58"/>
        <v>6342</v>
      </c>
      <c r="R61" s="151">
        <f t="shared" si="58"/>
        <v>6383</v>
      </c>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c r="BK61" s="150"/>
      <c r="BL61" s="150"/>
      <c r="BM61" s="150"/>
      <c r="BN61" s="150"/>
      <c r="BO61" s="150"/>
      <c r="BP61" s="150"/>
      <c r="BQ61" s="150"/>
      <c r="BR61" s="150"/>
      <c r="BS61" s="150"/>
      <c r="BT61" s="150"/>
      <c r="BU61" s="150"/>
      <c r="BV61" s="150"/>
      <c r="BW61" s="150"/>
      <c r="BX61" s="150"/>
      <c r="BY61" s="150"/>
      <c r="BZ61" s="150"/>
      <c r="CA61" s="150"/>
      <c r="CB61" s="150"/>
      <c r="CC61" s="150"/>
      <c r="CD61" s="150"/>
      <c r="CE61" s="150"/>
      <c r="CF61" s="150"/>
      <c r="CG61" s="150"/>
      <c r="CH61" s="150"/>
      <c r="CI61" s="150"/>
      <c r="CJ61" s="150"/>
      <c r="CK61" s="150"/>
      <c r="CL61" s="150"/>
      <c r="CM61" s="150"/>
      <c r="CN61" s="150"/>
      <c r="CO61" s="150"/>
      <c r="CP61" s="150"/>
      <c r="CQ61" s="150"/>
      <c r="CR61" s="150"/>
      <c r="CS61" s="150"/>
      <c r="CT61" s="150"/>
      <c r="CU61" s="150"/>
    </row>
    <row r="62" spans="1:99" s="151" customFormat="1" ht="14.1" customHeight="1">
      <c r="A62" s="163" t="s">
        <v>75</v>
      </c>
      <c r="B62" s="151">
        <v>2</v>
      </c>
      <c r="C62" s="151">
        <f t="shared" ref="C62:R62" si="59">ROUND((($U$4*X$18)+($V$4*X$39)+($U$4*AP$18)+($V$4*AP$39)+($W$4*(2-(AP$18+AP$39)))+($W$4*(0-(X$18+X$39))))*$AO$11,0)</f>
        <v>4118</v>
      </c>
      <c r="D62" s="151">
        <f t="shared" si="59"/>
        <v>4118</v>
      </c>
      <c r="E62" s="151">
        <f t="shared" si="59"/>
        <v>4118</v>
      </c>
      <c r="F62" s="151">
        <f t="shared" si="59"/>
        <v>4159</v>
      </c>
      <c r="G62" s="151">
        <f t="shared" si="59"/>
        <v>4159</v>
      </c>
      <c r="H62" s="151">
        <f t="shared" si="59"/>
        <v>4159</v>
      </c>
      <c r="I62" s="151">
        <f t="shared" si="59"/>
        <v>4159</v>
      </c>
      <c r="J62" s="151">
        <f t="shared" si="59"/>
        <v>4159</v>
      </c>
      <c r="K62" s="151">
        <f t="shared" si="59"/>
        <v>4159</v>
      </c>
      <c r="L62" s="151">
        <f t="shared" si="59"/>
        <v>4159</v>
      </c>
      <c r="M62" s="151">
        <f t="shared" si="59"/>
        <v>4159</v>
      </c>
      <c r="N62" s="151">
        <f t="shared" si="59"/>
        <v>4159</v>
      </c>
      <c r="O62" s="151">
        <f t="shared" si="59"/>
        <v>4159</v>
      </c>
      <c r="P62" s="151">
        <f t="shared" si="59"/>
        <v>4159</v>
      </c>
      <c r="Q62" s="151">
        <f t="shared" si="59"/>
        <v>4201</v>
      </c>
      <c r="R62" s="151">
        <f t="shared" si="59"/>
        <v>4242</v>
      </c>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150"/>
      <c r="BY62" s="150"/>
      <c r="BZ62" s="150"/>
      <c r="CA62" s="150"/>
      <c r="CB62" s="150"/>
      <c r="CC62" s="150"/>
      <c r="CD62" s="150"/>
      <c r="CE62" s="150"/>
      <c r="CF62" s="150"/>
      <c r="CG62" s="150"/>
      <c r="CH62" s="150"/>
      <c r="CI62" s="150"/>
      <c r="CJ62" s="150"/>
      <c r="CK62" s="150"/>
      <c r="CL62" s="150"/>
      <c r="CM62" s="150"/>
      <c r="CN62" s="150"/>
      <c r="CO62" s="150"/>
      <c r="CP62" s="150"/>
      <c r="CQ62" s="150"/>
      <c r="CR62" s="150"/>
      <c r="CS62" s="150"/>
      <c r="CT62" s="150"/>
      <c r="CU62" s="150"/>
    </row>
    <row r="63" spans="1:99" s="151" customFormat="1" ht="14.1" customHeight="1">
      <c r="A63" s="163" t="s">
        <v>77</v>
      </c>
      <c r="B63" s="151">
        <v>1</v>
      </c>
      <c r="C63" s="151">
        <f t="shared" ref="C63:R63" si="60">ROUND((($U$4*X$19)+($V$4*X$40)+($U$4*AP$19)+($V$4*AP$40)+($W$4*(1-(AP$19+AP$40)))+($W$4*(0-(X$19+X$40))))*$AO$11,0)</f>
        <v>2059</v>
      </c>
      <c r="D63" s="151">
        <f t="shared" si="60"/>
        <v>2059</v>
      </c>
      <c r="E63" s="151">
        <f t="shared" si="60"/>
        <v>2059</v>
      </c>
      <c r="F63" s="151">
        <f t="shared" si="60"/>
        <v>2059</v>
      </c>
      <c r="G63" s="151">
        <f t="shared" si="60"/>
        <v>2059</v>
      </c>
      <c r="H63" s="151">
        <f t="shared" si="60"/>
        <v>2059</v>
      </c>
      <c r="I63" s="151">
        <f t="shared" si="60"/>
        <v>2059</v>
      </c>
      <c r="J63" s="151">
        <f t="shared" si="60"/>
        <v>2059</v>
      </c>
      <c r="K63" s="151">
        <f t="shared" si="60"/>
        <v>2059</v>
      </c>
      <c r="L63" s="151">
        <f t="shared" si="60"/>
        <v>2059</v>
      </c>
      <c r="M63" s="151">
        <f t="shared" si="60"/>
        <v>2059</v>
      </c>
      <c r="N63" s="151">
        <f t="shared" si="60"/>
        <v>2059</v>
      </c>
      <c r="O63" s="151">
        <f t="shared" si="60"/>
        <v>2059</v>
      </c>
      <c r="P63" s="151">
        <f t="shared" si="60"/>
        <v>2059</v>
      </c>
      <c r="Q63" s="151">
        <f t="shared" si="60"/>
        <v>2059</v>
      </c>
      <c r="R63" s="151">
        <f t="shared" si="60"/>
        <v>2100</v>
      </c>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row>
    <row r="64" spans="1:99" ht="14.1" customHeight="1">
      <c r="A64" s="163"/>
      <c r="B64" s="151"/>
      <c r="C64" s="151"/>
      <c r="D64" s="151"/>
      <c r="E64" s="151"/>
      <c r="F64" s="151"/>
      <c r="G64" s="151"/>
      <c r="H64" s="151"/>
      <c r="I64" s="151"/>
      <c r="J64" s="151"/>
      <c r="K64" s="151"/>
      <c r="L64" s="151"/>
      <c r="M64" s="151"/>
      <c r="N64" s="151"/>
      <c r="O64" s="151"/>
      <c r="P64" s="151"/>
      <c r="Q64" s="151"/>
      <c r="R64" s="151"/>
    </row>
    <row r="65" spans="1:99" s="151" customFormat="1" ht="14.1" customHeight="1">
      <c r="A65" s="149" t="s">
        <v>329</v>
      </c>
      <c r="B65" s="164"/>
      <c r="C65" s="165"/>
      <c r="D65" s="165"/>
      <c r="E65" s="165"/>
      <c r="F65" s="165"/>
      <c r="G65" s="165"/>
      <c r="H65" s="165"/>
      <c r="I65" s="165"/>
      <c r="J65" s="165"/>
      <c r="K65" s="165"/>
      <c r="L65" s="165"/>
      <c r="M65" s="165"/>
      <c r="N65" s="165"/>
      <c r="O65" s="165"/>
      <c r="P65" s="165"/>
      <c r="Q65" s="165"/>
      <c r="R65" s="165"/>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0"/>
      <c r="BC65" s="150"/>
      <c r="BD65" s="150"/>
      <c r="BE65" s="150"/>
      <c r="BF65" s="150"/>
      <c r="BG65" s="150"/>
      <c r="BH65" s="150"/>
      <c r="BI65" s="150"/>
      <c r="BJ65" s="150"/>
      <c r="BK65" s="150"/>
      <c r="BL65" s="150"/>
      <c r="BM65" s="150"/>
      <c r="BN65" s="150"/>
      <c r="BO65" s="150"/>
      <c r="BP65" s="150"/>
      <c r="BQ65" s="150"/>
      <c r="BR65" s="150"/>
      <c r="BS65" s="150"/>
      <c r="BT65" s="150"/>
      <c r="BU65" s="150"/>
      <c r="BV65" s="150"/>
      <c r="BW65" s="150"/>
      <c r="BX65" s="150"/>
      <c r="BY65" s="150"/>
      <c r="BZ65" s="150"/>
      <c r="CA65" s="150"/>
      <c r="CB65" s="150"/>
      <c r="CC65" s="150"/>
      <c r="CD65" s="150"/>
      <c r="CE65" s="150"/>
      <c r="CF65" s="150"/>
      <c r="CG65" s="150"/>
      <c r="CH65" s="150"/>
      <c r="CI65" s="150"/>
      <c r="CJ65" s="150"/>
      <c r="CK65" s="150"/>
      <c r="CL65" s="150"/>
      <c r="CM65" s="150"/>
      <c r="CN65" s="150"/>
      <c r="CO65" s="150"/>
      <c r="CP65" s="150"/>
      <c r="CQ65" s="150"/>
      <c r="CR65" s="150"/>
      <c r="CS65" s="150"/>
      <c r="CT65" s="150"/>
      <c r="CU65" s="150"/>
    </row>
    <row r="66" spans="1:99" s="151" customFormat="1" ht="14.1" customHeight="1">
      <c r="A66" s="111"/>
      <c r="B66" s="166" t="s">
        <v>54</v>
      </c>
      <c r="C66" s="165"/>
      <c r="D66" s="165"/>
      <c r="E66" s="165"/>
      <c r="F66" s="165"/>
      <c r="G66" s="165"/>
      <c r="H66" s="165"/>
      <c r="I66" s="165"/>
      <c r="J66" s="165"/>
      <c r="K66" s="165"/>
      <c r="L66" s="165"/>
      <c r="M66" s="165"/>
      <c r="N66" s="165"/>
      <c r="O66" s="165"/>
      <c r="P66" s="165"/>
      <c r="Q66" s="165"/>
      <c r="R66" s="165"/>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0"/>
      <c r="AY66" s="150"/>
      <c r="AZ66" s="150"/>
      <c r="BA66" s="150"/>
      <c r="BB66" s="150"/>
      <c r="BC66" s="150"/>
      <c r="BD66" s="150"/>
      <c r="BE66" s="150"/>
      <c r="BF66" s="150"/>
      <c r="BG66" s="150"/>
      <c r="BH66" s="150"/>
      <c r="BI66" s="150"/>
      <c r="BJ66" s="150"/>
      <c r="BK66" s="150"/>
      <c r="BL66" s="150"/>
      <c r="BM66" s="150"/>
      <c r="BN66" s="150"/>
      <c r="BO66" s="150"/>
      <c r="BP66" s="150"/>
      <c r="BQ66" s="150"/>
      <c r="BR66" s="150"/>
      <c r="BS66" s="150"/>
      <c r="BT66" s="150"/>
      <c r="BU66" s="150"/>
      <c r="BV66" s="150"/>
      <c r="BW66" s="150"/>
      <c r="BX66" s="150"/>
      <c r="BY66" s="150"/>
      <c r="BZ66" s="150"/>
      <c r="CA66" s="150"/>
      <c r="CB66" s="150"/>
      <c r="CC66" s="150"/>
      <c r="CD66" s="150"/>
      <c r="CE66" s="150"/>
      <c r="CF66" s="150"/>
      <c r="CG66" s="150"/>
      <c r="CH66" s="150"/>
      <c r="CI66" s="150"/>
      <c r="CJ66" s="150"/>
      <c r="CK66" s="150"/>
      <c r="CL66" s="150"/>
      <c r="CM66" s="150"/>
      <c r="CN66" s="150"/>
      <c r="CO66" s="150"/>
      <c r="CP66" s="150"/>
      <c r="CQ66" s="150"/>
      <c r="CR66" s="150"/>
      <c r="CS66" s="150"/>
      <c r="CT66" s="150"/>
      <c r="CU66" s="150"/>
    </row>
    <row r="67" spans="1:99" s="151" customFormat="1" ht="14.1" customHeight="1">
      <c r="A67" s="172"/>
      <c r="B67" s="173" t="s">
        <v>58</v>
      </c>
      <c r="C67" s="174">
        <f>C12</f>
        <v>44012</v>
      </c>
      <c r="D67" s="174">
        <f t="shared" ref="D67:R67" si="61">D12</f>
        <v>44027</v>
      </c>
      <c r="E67" s="174">
        <f t="shared" si="61"/>
        <v>44043</v>
      </c>
      <c r="F67" s="174">
        <f t="shared" si="61"/>
        <v>44058</v>
      </c>
      <c r="G67" s="174">
        <f t="shared" si="61"/>
        <v>44074</v>
      </c>
      <c r="H67" s="174">
        <f t="shared" si="61"/>
        <v>44104</v>
      </c>
      <c r="I67" s="174">
        <f t="shared" si="61"/>
        <v>44135</v>
      </c>
      <c r="J67" s="174">
        <f t="shared" si="61"/>
        <v>44165</v>
      </c>
      <c r="K67" s="174">
        <f t="shared" si="61"/>
        <v>44196</v>
      </c>
      <c r="L67" s="174">
        <f t="shared" si="61"/>
        <v>44227</v>
      </c>
      <c r="M67" s="174">
        <f t="shared" si="61"/>
        <v>44255</v>
      </c>
      <c r="N67" s="174">
        <f t="shared" si="61"/>
        <v>44286</v>
      </c>
      <c r="O67" s="174">
        <f t="shared" si="61"/>
        <v>44316</v>
      </c>
      <c r="P67" s="174">
        <f t="shared" si="61"/>
        <v>44331</v>
      </c>
      <c r="Q67" s="174">
        <f t="shared" si="61"/>
        <v>44347</v>
      </c>
      <c r="R67" s="174">
        <f t="shared" si="61"/>
        <v>44362</v>
      </c>
      <c r="V67" s="150"/>
      <c r="W67" s="150"/>
      <c r="X67" s="150"/>
      <c r="Y67" s="150"/>
      <c r="Z67" s="150"/>
      <c r="AA67" s="150"/>
      <c r="AB67" s="150"/>
      <c r="AC67" s="150"/>
      <c r="AD67" s="150"/>
      <c r="AE67" s="150"/>
      <c r="AF67" s="150"/>
      <c r="AG67" s="150"/>
      <c r="AH67" s="150"/>
      <c r="AI67" s="150"/>
      <c r="AJ67" s="150"/>
      <c r="AK67" s="150"/>
      <c r="AL67" s="150"/>
      <c r="AM67" s="150"/>
      <c r="AN67" s="150"/>
      <c r="AO67" s="150"/>
      <c r="AP67" s="150"/>
      <c r="AQ67" s="150"/>
      <c r="AR67" s="150"/>
      <c r="AS67" s="150"/>
      <c r="AT67" s="150"/>
      <c r="AU67" s="150"/>
      <c r="AV67" s="150"/>
      <c r="AW67" s="150"/>
      <c r="AX67" s="150"/>
      <c r="AY67" s="150"/>
      <c r="AZ67" s="150"/>
      <c r="BA67" s="150"/>
      <c r="BB67" s="150"/>
      <c r="BC67" s="150"/>
      <c r="BD67" s="150"/>
      <c r="BE67" s="150"/>
      <c r="BF67" s="150"/>
      <c r="BG67" s="150"/>
      <c r="BH67" s="150"/>
      <c r="BI67" s="150"/>
      <c r="BJ67" s="150"/>
      <c r="BK67" s="150"/>
      <c r="BL67" s="150"/>
      <c r="BM67" s="150"/>
      <c r="BN67" s="150"/>
      <c r="BO67" s="150"/>
      <c r="BP67" s="150"/>
      <c r="BQ67" s="150"/>
      <c r="BR67" s="150"/>
      <c r="BS67" s="150"/>
      <c r="BT67" s="150"/>
      <c r="BU67" s="150"/>
      <c r="BV67" s="150"/>
      <c r="BW67" s="150"/>
      <c r="BX67" s="150"/>
      <c r="BY67" s="150"/>
      <c r="BZ67" s="150"/>
      <c r="CA67" s="150"/>
      <c r="CB67" s="150"/>
      <c r="CC67" s="150"/>
      <c r="CD67" s="150"/>
      <c r="CE67" s="150"/>
      <c r="CF67" s="150"/>
      <c r="CG67" s="150"/>
      <c r="CH67" s="150"/>
      <c r="CI67" s="150"/>
      <c r="CJ67" s="150"/>
      <c r="CK67" s="150"/>
      <c r="CL67" s="150"/>
      <c r="CM67" s="150"/>
      <c r="CN67" s="150"/>
      <c r="CO67" s="150"/>
      <c r="CP67" s="150"/>
      <c r="CQ67" s="150"/>
      <c r="CR67" s="150"/>
      <c r="CS67" s="150"/>
      <c r="CT67" s="150"/>
      <c r="CU67" s="150"/>
    </row>
    <row r="68" spans="1:99" s="151" customFormat="1" ht="14.1" customHeight="1">
      <c r="A68" s="163" t="s">
        <v>59</v>
      </c>
      <c r="B68" s="151">
        <v>12</v>
      </c>
      <c r="C68" s="151">
        <f t="shared" ref="C68:R68" si="62">ROUND((($U$5*X$13)+($V$5*X$34)+($U$5*AP$13)+($V$5*AP$34)+($W$5*(3-(AP$13+AP$34)))+($W$5*(9-(X$13+X$34))))*$AO$11,0)</f>
        <v>23478</v>
      </c>
      <c r="D68" s="151">
        <f t="shared" si="62"/>
        <v>23517</v>
      </c>
      <c r="E68" s="151">
        <f t="shared" si="62"/>
        <v>23557</v>
      </c>
      <c r="F68" s="151">
        <f t="shared" si="62"/>
        <v>23596</v>
      </c>
      <c r="G68" s="151">
        <f t="shared" si="62"/>
        <v>23635</v>
      </c>
      <c r="H68" s="151">
        <f t="shared" si="62"/>
        <v>23714</v>
      </c>
      <c r="I68" s="151">
        <f t="shared" si="62"/>
        <v>23792</v>
      </c>
      <c r="J68" s="151">
        <f t="shared" si="62"/>
        <v>23871</v>
      </c>
      <c r="K68" s="151">
        <f t="shared" si="62"/>
        <v>23949</v>
      </c>
      <c r="L68" s="151">
        <f t="shared" si="62"/>
        <v>24028</v>
      </c>
      <c r="M68" s="151">
        <f t="shared" si="62"/>
        <v>24106</v>
      </c>
      <c r="N68" s="151">
        <f t="shared" si="62"/>
        <v>24185</v>
      </c>
      <c r="O68" s="151">
        <f t="shared" si="62"/>
        <v>24263</v>
      </c>
      <c r="P68" s="151">
        <f t="shared" si="62"/>
        <v>24302</v>
      </c>
      <c r="Q68" s="151">
        <f t="shared" si="62"/>
        <v>24342</v>
      </c>
      <c r="R68" s="151">
        <f t="shared" si="62"/>
        <v>24381</v>
      </c>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50"/>
      <c r="AU68" s="150"/>
      <c r="AV68" s="150"/>
      <c r="AW68" s="150"/>
      <c r="AX68" s="150"/>
      <c r="AY68" s="150"/>
      <c r="AZ68" s="150"/>
      <c r="BA68" s="150"/>
      <c r="BB68" s="150"/>
      <c r="BC68" s="150"/>
      <c r="BD68" s="150"/>
      <c r="BE68" s="150"/>
      <c r="BF68" s="150"/>
      <c r="BG68" s="150"/>
      <c r="BH68" s="150"/>
      <c r="BI68" s="150"/>
      <c r="BJ68" s="150"/>
      <c r="BK68" s="150"/>
      <c r="BL68" s="150"/>
      <c r="BM68" s="150"/>
      <c r="BN68" s="150"/>
      <c r="BO68" s="150"/>
      <c r="BP68" s="150"/>
      <c r="BQ68" s="150"/>
      <c r="BR68" s="150"/>
      <c r="BS68" s="150"/>
      <c r="BT68" s="150"/>
      <c r="BU68" s="150"/>
      <c r="BV68" s="150"/>
      <c r="BW68" s="150"/>
      <c r="BX68" s="150"/>
      <c r="BY68" s="150"/>
      <c r="BZ68" s="150"/>
      <c r="CA68" s="150"/>
      <c r="CB68" s="150"/>
      <c r="CC68" s="150"/>
      <c r="CD68" s="150"/>
      <c r="CE68" s="150"/>
      <c r="CF68" s="150"/>
      <c r="CG68" s="150"/>
      <c r="CH68" s="150"/>
      <c r="CI68" s="150"/>
      <c r="CJ68" s="150"/>
      <c r="CK68" s="150"/>
      <c r="CL68" s="150"/>
      <c r="CM68" s="150"/>
      <c r="CN68" s="150"/>
      <c r="CO68" s="150"/>
      <c r="CP68" s="150"/>
      <c r="CQ68" s="150"/>
      <c r="CR68" s="150"/>
      <c r="CS68" s="150"/>
      <c r="CT68" s="150"/>
      <c r="CU68" s="150"/>
    </row>
    <row r="69" spans="1:99" s="151" customFormat="1" ht="14.1" customHeight="1">
      <c r="A69" s="163" t="s">
        <v>64</v>
      </c>
      <c r="B69" s="151">
        <v>11</v>
      </c>
      <c r="C69" s="151">
        <f t="shared" ref="C69:R69" si="63">ROUND((($U$5*X$14)+($V$5*X$35)+($U$5*AP$14)+($V$5*AP$35)+($W$5*(2-(AP$14+AP$35)))+($W$5*(9-(X$14+X$35))))*$AO$11,0)</f>
        <v>21522</v>
      </c>
      <c r="D69" s="151">
        <f t="shared" si="63"/>
        <v>21522</v>
      </c>
      <c r="E69" s="151">
        <f t="shared" si="63"/>
        <v>21522</v>
      </c>
      <c r="F69" s="151">
        <f t="shared" si="63"/>
        <v>21561</v>
      </c>
      <c r="G69" s="151">
        <f t="shared" si="63"/>
        <v>21600</v>
      </c>
      <c r="H69" s="151">
        <f t="shared" si="63"/>
        <v>21679</v>
      </c>
      <c r="I69" s="151">
        <f t="shared" si="63"/>
        <v>21757</v>
      </c>
      <c r="J69" s="151">
        <f t="shared" si="63"/>
        <v>21836</v>
      </c>
      <c r="K69" s="151">
        <f t="shared" si="63"/>
        <v>21914</v>
      </c>
      <c r="L69" s="151">
        <f t="shared" si="63"/>
        <v>21993</v>
      </c>
      <c r="M69" s="151">
        <f t="shared" si="63"/>
        <v>22071</v>
      </c>
      <c r="N69" s="151">
        <f t="shared" si="63"/>
        <v>22150</v>
      </c>
      <c r="O69" s="151">
        <f t="shared" si="63"/>
        <v>22228</v>
      </c>
      <c r="P69" s="151">
        <f t="shared" si="63"/>
        <v>22267</v>
      </c>
      <c r="Q69" s="151">
        <f t="shared" si="63"/>
        <v>22307</v>
      </c>
      <c r="R69" s="151">
        <f t="shared" si="63"/>
        <v>22346</v>
      </c>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50"/>
      <c r="AU69" s="150"/>
      <c r="AV69" s="150"/>
      <c r="AW69" s="150"/>
      <c r="AX69" s="150"/>
      <c r="AY69" s="150"/>
      <c r="AZ69" s="150"/>
      <c r="BA69" s="150"/>
      <c r="BB69" s="150"/>
      <c r="BC69" s="150"/>
      <c r="BD69" s="150"/>
      <c r="BE69" s="150"/>
      <c r="BF69" s="150"/>
      <c r="BG69" s="150"/>
      <c r="BH69" s="150"/>
      <c r="BI69" s="150"/>
      <c r="BJ69" s="150"/>
      <c r="BK69" s="150"/>
      <c r="BL69" s="150"/>
      <c r="BM69" s="150"/>
      <c r="BN69" s="150"/>
      <c r="BO69" s="150"/>
      <c r="BP69" s="150"/>
      <c r="BQ69" s="150"/>
      <c r="BR69" s="150"/>
      <c r="BS69" s="150"/>
      <c r="BT69" s="150"/>
      <c r="BU69" s="150"/>
      <c r="BV69" s="150"/>
      <c r="BW69" s="150"/>
      <c r="BX69" s="150"/>
      <c r="BY69" s="150"/>
      <c r="BZ69" s="150"/>
      <c r="CA69" s="150"/>
      <c r="CB69" s="150"/>
      <c r="CC69" s="150"/>
      <c r="CD69" s="150"/>
      <c r="CE69" s="150"/>
      <c r="CF69" s="150"/>
      <c r="CG69" s="150"/>
      <c r="CH69" s="150"/>
      <c r="CI69" s="150"/>
      <c r="CJ69" s="150"/>
      <c r="CK69" s="150"/>
      <c r="CL69" s="150"/>
      <c r="CM69" s="150"/>
      <c r="CN69" s="150"/>
      <c r="CO69" s="150"/>
      <c r="CP69" s="150"/>
      <c r="CQ69" s="150"/>
      <c r="CR69" s="150"/>
      <c r="CS69" s="150"/>
      <c r="CT69" s="150"/>
      <c r="CU69" s="150"/>
    </row>
    <row r="70" spans="1:99" s="151" customFormat="1" ht="14.1" customHeight="1">
      <c r="A70" s="163" t="s">
        <v>68</v>
      </c>
      <c r="B70" s="151">
        <v>10</v>
      </c>
      <c r="C70" s="151">
        <f t="shared" ref="C70:R70" si="64">ROUND((($U$5*X$15)+($V$5*X$36)+($U$5*AP$15)+($V$5*AP$36)+($W$5*(1-(AP$15+AP$36)))+($W$5*(9-(X$15+X$36))))*$AO$11,0)</f>
        <v>19565</v>
      </c>
      <c r="D70" s="151">
        <f t="shared" si="64"/>
        <v>19565</v>
      </c>
      <c r="E70" s="151">
        <f t="shared" si="64"/>
        <v>19565</v>
      </c>
      <c r="F70" s="151">
        <f t="shared" si="64"/>
        <v>19565</v>
      </c>
      <c r="G70" s="151">
        <f t="shared" si="64"/>
        <v>19604</v>
      </c>
      <c r="H70" s="151">
        <f t="shared" si="64"/>
        <v>19683</v>
      </c>
      <c r="I70" s="151">
        <f t="shared" si="64"/>
        <v>19761</v>
      </c>
      <c r="J70" s="151">
        <f t="shared" si="64"/>
        <v>19840</v>
      </c>
      <c r="K70" s="151">
        <f t="shared" si="64"/>
        <v>19918</v>
      </c>
      <c r="L70" s="151">
        <f t="shared" si="64"/>
        <v>19997</v>
      </c>
      <c r="M70" s="151">
        <f t="shared" si="64"/>
        <v>20075</v>
      </c>
      <c r="N70" s="151">
        <f t="shared" si="64"/>
        <v>20154</v>
      </c>
      <c r="O70" s="151">
        <f t="shared" si="64"/>
        <v>20232</v>
      </c>
      <c r="P70" s="151">
        <f t="shared" si="64"/>
        <v>20272</v>
      </c>
      <c r="Q70" s="151">
        <f t="shared" si="64"/>
        <v>20272</v>
      </c>
      <c r="R70" s="151">
        <f t="shared" si="64"/>
        <v>20311</v>
      </c>
      <c r="V70" s="150"/>
      <c r="W70" s="150"/>
      <c r="X70" s="150"/>
      <c r="Y70" s="150"/>
      <c r="Z70" s="150"/>
      <c r="AA70" s="150"/>
      <c r="AB70" s="150"/>
      <c r="AC70" s="150"/>
      <c r="AD70" s="150"/>
      <c r="AE70" s="150"/>
      <c r="AF70" s="150"/>
      <c r="AG70" s="150"/>
      <c r="AH70" s="150"/>
      <c r="AI70" s="150"/>
      <c r="AJ70" s="150"/>
      <c r="AK70" s="150"/>
      <c r="AL70" s="150"/>
      <c r="AM70" s="150"/>
      <c r="AN70" s="150"/>
      <c r="AO70" s="150"/>
      <c r="AP70" s="150"/>
      <c r="AQ70" s="150"/>
      <c r="AR70" s="150"/>
      <c r="AS70" s="150"/>
      <c r="AT70" s="150"/>
      <c r="AU70" s="150"/>
      <c r="AV70" s="150"/>
      <c r="AW70" s="150"/>
      <c r="AX70" s="150"/>
      <c r="AY70" s="150"/>
      <c r="AZ70" s="150"/>
      <c r="BA70" s="150"/>
      <c r="BB70" s="150"/>
      <c r="BC70" s="150"/>
      <c r="BD70" s="150"/>
      <c r="BE70" s="150"/>
      <c r="BF70" s="150"/>
      <c r="BG70" s="150"/>
      <c r="BH70" s="150"/>
      <c r="BI70" s="150"/>
      <c r="BJ70" s="150"/>
      <c r="BK70" s="150"/>
      <c r="BL70" s="150"/>
      <c r="BM70" s="150"/>
      <c r="BN70" s="150"/>
      <c r="BO70" s="150"/>
      <c r="BP70" s="150"/>
      <c r="BQ70" s="150"/>
      <c r="BR70" s="150"/>
      <c r="BS70" s="150"/>
      <c r="BT70" s="150"/>
      <c r="BU70" s="150"/>
      <c r="BV70" s="150"/>
      <c r="BW70" s="150"/>
      <c r="BX70" s="150"/>
      <c r="BY70" s="150"/>
      <c r="BZ70" s="150"/>
      <c r="CA70" s="150"/>
      <c r="CB70" s="150"/>
      <c r="CC70" s="150"/>
      <c r="CD70" s="150"/>
      <c r="CE70" s="150"/>
      <c r="CF70" s="150"/>
      <c r="CG70" s="150"/>
      <c r="CH70" s="150"/>
      <c r="CI70" s="150"/>
      <c r="CJ70" s="150"/>
      <c r="CK70" s="150"/>
      <c r="CL70" s="150"/>
      <c r="CM70" s="150"/>
      <c r="CN70" s="150"/>
      <c r="CO70" s="150"/>
      <c r="CP70" s="150"/>
      <c r="CQ70" s="150"/>
      <c r="CR70" s="150"/>
      <c r="CS70" s="150"/>
      <c r="CT70" s="150"/>
      <c r="CU70" s="150"/>
    </row>
    <row r="71" spans="1:99" s="151" customFormat="1" ht="14.1" customHeight="1">
      <c r="A71" s="163" t="s">
        <v>70</v>
      </c>
      <c r="B71" s="151">
        <v>9</v>
      </c>
      <c r="C71" s="151">
        <f t="shared" ref="C71:R71" si="65">ROUND((($U$5*X$16)+($V$5*X$37)+($U$5*AP$16)+($V$5*AP$37)+($W$5*(0-(AP$16+AP$37)))+($W$5*(9-(X$16+X$37))))*$AO$11,0)</f>
        <v>17609</v>
      </c>
      <c r="D71" s="151">
        <f t="shared" si="65"/>
        <v>17609</v>
      </c>
      <c r="E71" s="151">
        <f t="shared" si="65"/>
        <v>17609</v>
      </c>
      <c r="F71" s="151">
        <f t="shared" si="65"/>
        <v>17609</v>
      </c>
      <c r="G71" s="151">
        <f t="shared" si="65"/>
        <v>17648</v>
      </c>
      <c r="H71" s="151">
        <f t="shared" si="65"/>
        <v>17726</v>
      </c>
      <c r="I71" s="151">
        <f t="shared" si="65"/>
        <v>17805</v>
      </c>
      <c r="J71" s="151">
        <f t="shared" si="65"/>
        <v>17883</v>
      </c>
      <c r="K71" s="151">
        <f t="shared" si="65"/>
        <v>17962</v>
      </c>
      <c r="L71" s="151">
        <f t="shared" si="65"/>
        <v>18040</v>
      </c>
      <c r="M71" s="151">
        <f t="shared" si="65"/>
        <v>18119</v>
      </c>
      <c r="N71" s="151">
        <f t="shared" si="65"/>
        <v>18197</v>
      </c>
      <c r="O71" s="151">
        <f t="shared" si="65"/>
        <v>18276</v>
      </c>
      <c r="P71" s="151">
        <f t="shared" si="65"/>
        <v>18315</v>
      </c>
      <c r="Q71" s="151">
        <f t="shared" si="65"/>
        <v>18315</v>
      </c>
      <c r="R71" s="151">
        <f t="shared" si="65"/>
        <v>18315</v>
      </c>
      <c r="V71" s="150"/>
      <c r="W71" s="150"/>
      <c r="X71" s="150"/>
      <c r="Y71" s="150"/>
      <c r="Z71" s="150"/>
      <c r="AA71" s="150"/>
      <c r="AB71" s="150"/>
      <c r="AC71" s="150"/>
      <c r="AD71" s="150"/>
      <c r="AE71" s="150"/>
      <c r="AF71" s="150"/>
      <c r="AG71" s="150"/>
      <c r="AH71" s="150"/>
      <c r="AI71" s="150"/>
      <c r="AJ71" s="150"/>
      <c r="AK71" s="150"/>
      <c r="AL71" s="150"/>
      <c r="AM71" s="150"/>
      <c r="AN71" s="150"/>
      <c r="AO71" s="150"/>
      <c r="AP71" s="150"/>
      <c r="AQ71" s="150"/>
      <c r="AR71" s="150"/>
      <c r="AS71" s="150"/>
      <c r="AT71" s="150"/>
      <c r="AU71" s="150"/>
      <c r="AV71" s="150"/>
      <c r="AW71" s="150"/>
      <c r="AX71" s="150"/>
      <c r="AY71" s="150"/>
      <c r="AZ71" s="150"/>
      <c r="BA71" s="150"/>
      <c r="BB71" s="150"/>
      <c r="BC71" s="150"/>
      <c r="BD71" s="150"/>
      <c r="BE71" s="150"/>
      <c r="BF71" s="150"/>
      <c r="BG71" s="150"/>
      <c r="BH71" s="150"/>
      <c r="BI71" s="150"/>
      <c r="BJ71" s="150"/>
      <c r="BK71" s="150"/>
      <c r="BL71" s="150"/>
      <c r="BM71" s="150"/>
      <c r="BN71" s="150"/>
      <c r="BO71" s="150"/>
      <c r="BP71" s="150"/>
      <c r="BQ71" s="150"/>
      <c r="BR71" s="150"/>
      <c r="BS71" s="150"/>
      <c r="BT71" s="150"/>
      <c r="BU71" s="150"/>
      <c r="BV71" s="150"/>
      <c r="BW71" s="150"/>
      <c r="BX71" s="150"/>
      <c r="BY71" s="150"/>
      <c r="BZ71" s="150"/>
      <c r="CA71" s="150"/>
      <c r="CB71" s="150"/>
      <c r="CC71" s="150"/>
      <c r="CD71" s="150"/>
      <c r="CE71" s="150"/>
      <c r="CF71" s="150"/>
      <c r="CG71" s="150"/>
      <c r="CH71" s="150"/>
      <c r="CI71" s="150"/>
      <c r="CJ71" s="150"/>
      <c r="CK71" s="150"/>
      <c r="CL71" s="150"/>
      <c r="CM71" s="150"/>
      <c r="CN71" s="150"/>
      <c r="CO71" s="150"/>
      <c r="CP71" s="150"/>
      <c r="CQ71" s="150"/>
      <c r="CR71" s="150"/>
      <c r="CS71" s="150"/>
      <c r="CT71" s="150"/>
      <c r="CU71" s="150"/>
    </row>
    <row r="72" spans="1:99" s="151" customFormat="1" ht="14.1" customHeight="1">
      <c r="A72" s="163" t="s">
        <v>72</v>
      </c>
      <c r="B72" s="151">
        <v>3</v>
      </c>
      <c r="C72" s="151">
        <f t="shared" ref="C72:R72" si="66">ROUND((($U$5*X$17)+($V$5*X$38)+($U$5*AP$17)+($V$5*AP$38)+($W$5*(3-(AP$17+AP$38)))+($W$5*(0-(X$17+X$38))))*$AO$11,0)</f>
        <v>5870</v>
      </c>
      <c r="D72" s="151">
        <f t="shared" si="66"/>
        <v>5909</v>
      </c>
      <c r="E72" s="151">
        <f t="shared" si="66"/>
        <v>5948</v>
      </c>
      <c r="F72" s="151">
        <f t="shared" si="66"/>
        <v>5987</v>
      </c>
      <c r="G72" s="151">
        <f t="shared" si="66"/>
        <v>5987</v>
      </c>
      <c r="H72" s="151">
        <f t="shared" si="66"/>
        <v>5987</v>
      </c>
      <c r="I72" s="151">
        <f t="shared" si="66"/>
        <v>5987</v>
      </c>
      <c r="J72" s="151">
        <f t="shared" si="66"/>
        <v>5987</v>
      </c>
      <c r="K72" s="151">
        <f t="shared" si="66"/>
        <v>5987</v>
      </c>
      <c r="L72" s="151">
        <f t="shared" si="66"/>
        <v>5987</v>
      </c>
      <c r="M72" s="151">
        <f t="shared" si="66"/>
        <v>5987</v>
      </c>
      <c r="N72" s="151">
        <f t="shared" si="66"/>
        <v>5987</v>
      </c>
      <c r="O72" s="151">
        <f t="shared" si="66"/>
        <v>5987</v>
      </c>
      <c r="P72" s="151">
        <f t="shared" si="66"/>
        <v>5987</v>
      </c>
      <c r="Q72" s="151">
        <f t="shared" si="66"/>
        <v>6027</v>
      </c>
      <c r="R72" s="151">
        <f t="shared" si="66"/>
        <v>6066</v>
      </c>
      <c r="V72" s="150"/>
      <c r="W72" s="150"/>
      <c r="X72" s="150"/>
      <c r="Y72" s="150"/>
      <c r="Z72" s="150"/>
      <c r="AA72" s="150"/>
      <c r="AB72" s="150"/>
      <c r="AC72" s="150"/>
      <c r="AD72" s="150"/>
      <c r="AE72" s="150"/>
      <c r="AF72" s="150"/>
      <c r="AG72" s="150"/>
      <c r="AH72" s="150"/>
      <c r="AI72" s="150"/>
      <c r="AJ72" s="150"/>
      <c r="AK72" s="150"/>
      <c r="AL72" s="150"/>
      <c r="AM72" s="150"/>
      <c r="AN72" s="150"/>
      <c r="AO72" s="150"/>
      <c r="AP72" s="150"/>
      <c r="AQ72" s="150"/>
      <c r="AR72" s="150"/>
      <c r="AS72" s="150"/>
      <c r="AT72" s="150"/>
      <c r="AU72" s="150"/>
      <c r="AV72" s="150"/>
      <c r="AW72" s="150"/>
      <c r="AX72" s="150"/>
      <c r="AY72" s="150"/>
      <c r="AZ72" s="150"/>
      <c r="BA72" s="150"/>
      <c r="BB72" s="150"/>
      <c r="BC72" s="150"/>
      <c r="BD72" s="150"/>
      <c r="BE72" s="150"/>
      <c r="BF72" s="150"/>
      <c r="BG72" s="150"/>
      <c r="BH72" s="150"/>
      <c r="BI72" s="150"/>
      <c r="BJ72" s="150"/>
      <c r="BK72" s="150"/>
      <c r="BL72" s="150"/>
      <c r="BM72" s="150"/>
      <c r="BN72" s="150"/>
      <c r="BO72" s="150"/>
      <c r="BP72" s="150"/>
      <c r="BQ72" s="150"/>
      <c r="BR72" s="150"/>
      <c r="BS72" s="150"/>
      <c r="BT72" s="150"/>
      <c r="BU72" s="150"/>
      <c r="BV72" s="150"/>
      <c r="BW72" s="150"/>
      <c r="BX72" s="150"/>
      <c r="BY72" s="150"/>
      <c r="BZ72" s="150"/>
      <c r="CA72" s="150"/>
      <c r="CB72" s="150"/>
      <c r="CC72" s="150"/>
      <c r="CD72" s="150"/>
      <c r="CE72" s="150"/>
      <c r="CF72" s="150"/>
      <c r="CG72" s="150"/>
      <c r="CH72" s="150"/>
      <c r="CI72" s="150"/>
      <c r="CJ72" s="150"/>
      <c r="CK72" s="150"/>
      <c r="CL72" s="150"/>
      <c r="CM72" s="150"/>
      <c r="CN72" s="150"/>
      <c r="CO72" s="150"/>
      <c r="CP72" s="150"/>
      <c r="CQ72" s="150"/>
      <c r="CR72" s="150"/>
      <c r="CS72" s="150"/>
      <c r="CT72" s="150"/>
      <c r="CU72" s="150"/>
    </row>
    <row r="73" spans="1:99" s="151" customFormat="1" ht="14.1" customHeight="1">
      <c r="A73" s="163" t="s">
        <v>75</v>
      </c>
      <c r="B73" s="151">
        <v>2</v>
      </c>
      <c r="C73" s="151">
        <f t="shared" ref="C73:R73" si="67">ROUND((($U$5*X$18)+($V$5*X$39)+($U$5*AP$18)+($V$5*AP$39)+($W$5*(2-(AP$18+AP$39)))+($W$5*(0-(X$18+X$39))))*$AO$11,0)</f>
        <v>3913</v>
      </c>
      <c r="D73" s="151">
        <f t="shared" si="67"/>
        <v>3913</v>
      </c>
      <c r="E73" s="151">
        <f t="shared" si="67"/>
        <v>3913</v>
      </c>
      <c r="F73" s="151">
        <f t="shared" si="67"/>
        <v>3952</v>
      </c>
      <c r="G73" s="151">
        <f t="shared" si="67"/>
        <v>3952</v>
      </c>
      <c r="H73" s="151">
        <f t="shared" si="67"/>
        <v>3952</v>
      </c>
      <c r="I73" s="151">
        <f t="shared" si="67"/>
        <v>3952</v>
      </c>
      <c r="J73" s="151">
        <f t="shared" si="67"/>
        <v>3952</v>
      </c>
      <c r="K73" s="151">
        <f t="shared" si="67"/>
        <v>3952</v>
      </c>
      <c r="L73" s="151">
        <f t="shared" si="67"/>
        <v>3952</v>
      </c>
      <c r="M73" s="151">
        <f t="shared" si="67"/>
        <v>3952</v>
      </c>
      <c r="N73" s="151">
        <f t="shared" si="67"/>
        <v>3952</v>
      </c>
      <c r="O73" s="151">
        <f t="shared" si="67"/>
        <v>3952</v>
      </c>
      <c r="P73" s="151">
        <f t="shared" si="67"/>
        <v>3952</v>
      </c>
      <c r="Q73" s="151">
        <f t="shared" si="67"/>
        <v>3992</v>
      </c>
      <c r="R73" s="151">
        <f t="shared" si="67"/>
        <v>4031</v>
      </c>
      <c r="V73" s="150"/>
      <c r="W73" s="150"/>
      <c r="X73" s="150"/>
      <c r="Y73" s="150"/>
      <c r="Z73" s="150"/>
      <c r="AA73" s="150"/>
      <c r="AB73" s="150"/>
      <c r="AC73" s="150"/>
      <c r="AD73" s="150"/>
      <c r="AE73" s="150"/>
      <c r="AF73" s="150"/>
      <c r="AG73" s="150"/>
      <c r="AH73" s="150"/>
      <c r="AI73" s="150"/>
      <c r="AJ73" s="150"/>
      <c r="AK73" s="150"/>
      <c r="AL73" s="150"/>
      <c r="AM73" s="150"/>
      <c r="AN73" s="150"/>
      <c r="AO73" s="150"/>
      <c r="AP73" s="150"/>
      <c r="AQ73" s="150"/>
      <c r="AR73" s="150"/>
      <c r="AS73" s="150"/>
      <c r="AT73" s="150"/>
      <c r="AU73" s="150"/>
      <c r="AV73" s="150"/>
      <c r="AW73" s="150"/>
      <c r="AX73" s="150"/>
      <c r="AY73" s="150"/>
      <c r="AZ73" s="150"/>
      <c r="BA73" s="150"/>
      <c r="BB73" s="150"/>
      <c r="BC73" s="150"/>
      <c r="BD73" s="150"/>
      <c r="BE73" s="150"/>
      <c r="BF73" s="150"/>
      <c r="BG73" s="150"/>
      <c r="BH73" s="150"/>
      <c r="BI73" s="150"/>
      <c r="BJ73" s="150"/>
      <c r="BK73" s="150"/>
      <c r="BL73" s="150"/>
      <c r="BM73" s="150"/>
      <c r="BN73" s="150"/>
      <c r="BO73" s="150"/>
      <c r="BP73" s="150"/>
      <c r="BQ73" s="150"/>
      <c r="BR73" s="150"/>
      <c r="BS73" s="150"/>
      <c r="BT73" s="150"/>
      <c r="BU73" s="150"/>
      <c r="BV73" s="150"/>
      <c r="BW73" s="150"/>
      <c r="BX73" s="150"/>
      <c r="BY73" s="150"/>
      <c r="BZ73" s="150"/>
      <c r="CA73" s="150"/>
      <c r="CB73" s="150"/>
      <c r="CC73" s="150"/>
      <c r="CD73" s="150"/>
      <c r="CE73" s="150"/>
      <c r="CF73" s="150"/>
      <c r="CG73" s="150"/>
      <c r="CH73" s="150"/>
      <c r="CI73" s="150"/>
      <c r="CJ73" s="150"/>
      <c r="CK73" s="150"/>
      <c r="CL73" s="150"/>
      <c r="CM73" s="150"/>
      <c r="CN73" s="150"/>
      <c r="CO73" s="150"/>
      <c r="CP73" s="150"/>
      <c r="CQ73" s="150"/>
      <c r="CR73" s="150"/>
      <c r="CS73" s="150"/>
      <c r="CT73" s="150"/>
      <c r="CU73" s="150"/>
    </row>
    <row r="74" spans="1:99" s="151" customFormat="1" ht="14.1" customHeight="1">
      <c r="A74" s="163" t="s">
        <v>77</v>
      </c>
      <c r="B74" s="151">
        <v>1</v>
      </c>
      <c r="C74" s="151">
        <f t="shared" ref="C74:R74" si="68">ROUND((($U$5*X$19)+($V$5*X$40)+($U$5*AP$19)+($V$5*AP$40)+($W$5*(1-(AP$19+AP$40)))+($W$5*(0-(X$19+X$40))))*$AO$11,0)</f>
        <v>1957</v>
      </c>
      <c r="D74" s="151">
        <f t="shared" si="68"/>
        <v>1957</v>
      </c>
      <c r="E74" s="151">
        <f t="shared" si="68"/>
        <v>1957</v>
      </c>
      <c r="F74" s="151">
        <f t="shared" si="68"/>
        <v>1957</v>
      </c>
      <c r="G74" s="151">
        <f t="shared" si="68"/>
        <v>1957</v>
      </c>
      <c r="H74" s="151">
        <f t="shared" si="68"/>
        <v>1957</v>
      </c>
      <c r="I74" s="151">
        <f t="shared" si="68"/>
        <v>1957</v>
      </c>
      <c r="J74" s="151">
        <f t="shared" si="68"/>
        <v>1957</v>
      </c>
      <c r="K74" s="151">
        <f t="shared" si="68"/>
        <v>1957</v>
      </c>
      <c r="L74" s="151">
        <f t="shared" si="68"/>
        <v>1957</v>
      </c>
      <c r="M74" s="151">
        <f t="shared" si="68"/>
        <v>1957</v>
      </c>
      <c r="N74" s="151">
        <f t="shared" si="68"/>
        <v>1957</v>
      </c>
      <c r="O74" s="151">
        <f t="shared" si="68"/>
        <v>1957</v>
      </c>
      <c r="P74" s="151">
        <f t="shared" si="68"/>
        <v>1957</v>
      </c>
      <c r="Q74" s="151">
        <f t="shared" si="68"/>
        <v>1957</v>
      </c>
      <c r="R74" s="151">
        <f t="shared" si="68"/>
        <v>1996</v>
      </c>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50"/>
      <c r="BA74" s="150"/>
      <c r="BB74" s="150"/>
      <c r="BC74" s="150"/>
      <c r="BD74" s="150"/>
      <c r="BE74" s="150"/>
      <c r="BF74" s="150"/>
      <c r="BG74" s="150"/>
      <c r="BH74" s="150"/>
      <c r="BI74" s="150"/>
      <c r="BJ74" s="150"/>
      <c r="BK74" s="150"/>
      <c r="BL74" s="150"/>
      <c r="BM74" s="150"/>
      <c r="BN74" s="150"/>
      <c r="BO74" s="150"/>
      <c r="BP74" s="150"/>
      <c r="BQ74" s="150"/>
      <c r="BR74" s="150"/>
      <c r="BS74" s="150"/>
      <c r="BT74" s="150"/>
      <c r="BU74" s="150"/>
      <c r="BV74" s="150"/>
      <c r="BW74" s="150"/>
      <c r="BX74" s="150"/>
      <c r="BY74" s="150"/>
      <c r="BZ74" s="150"/>
      <c r="CA74" s="150"/>
      <c r="CB74" s="150"/>
      <c r="CC74" s="150"/>
      <c r="CD74" s="150"/>
      <c r="CE74" s="150"/>
      <c r="CF74" s="150"/>
      <c r="CG74" s="150"/>
      <c r="CH74" s="150"/>
      <c r="CI74" s="150"/>
      <c r="CJ74" s="150"/>
      <c r="CK74" s="150"/>
      <c r="CL74" s="150"/>
      <c r="CM74" s="150"/>
      <c r="CN74" s="150"/>
      <c r="CO74" s="150"/>
      <c r="CP74" s="150"/>
      <c r="CQ74" s="150"/>
      <c r="CR74" s="150"/>
      <c r="CS74" s="150"/>
      <c r="CT74" s="150"/>
      <c r="CU74" s="150"/>
    </row>
    <row r="75" spans="1:99" s="151" customFormat="1" ht="14.1" customHeight="1">
      <c r="A75" s="150"/>
      <c r="B75" s="150"/>
      <c r="C75" s="150"/>
      <c r="D75" s="150"/>
      <c r="E75" s="150"/>
      <c r="F75" s="150"/>
      <c r="G75" s="150"/>
      <c r="H75" s="150"/>
      <c r="I75" s="150"/>
      <c r="J75" s="150"/>
      <c r="K75" s="150"/>
      <c r="L75" s="150"/>
      <c r="M75" s="150"/>
      <c r="N75" s="150"/>
      <c r="O75" s="150"/>
      <c r="P75" s="150"/>
      <c r="Q75" s="150"/>
      <c r="R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0"/>
      <c r="BH75" s="150"/>
      <c r="BI75" s="150"/>
      <c r="BJ75" s="150"/>
      <c r="BK75" s="150"/>
      <c r="BL75" s="150"/>
      <c r="BM75" s="150"/>
      <c r="BN75" s="150"/>
      <c r="BO75" s="150"/>
      <c r="BP75" s="150"/>
      <c r="BQ75" s="150"/>
      <c r="BR75" s="150"/>
      <c r="BS75" s="150"/>
      <c r="BT75" s="150"/>
      <c r="BU75" s="150"/>
      <c r="BV75" s="150"/>
      <c r="BW75" s="150"/>
      <c r="BX75" s="150"/>
      <c r="BY75" s="150"/>
      <c r="BZ75" s="150"/>
      <c r="CA75" s="150"/>
      <c r="CB75" s="150"/>
      <c r="CC75" s="150"/>
      <c r="CD75" s="150"/>
      <c r="CE75" s="150"/>
      <c r="CF75" s="150"/>
      <c r="CG75" s="150"/>
      <c r="CH75" s="150"/>
      <c r="CI75" s="150"/>
      <c r="CJ75" s="150"/>
      <c r="CK75" s="150"/>
      <c r="CL75" s="150"/>
      <c r="CM75" s="150"/>
      <c r="CN75" s="150"/>
      <c r="CO75" s="150"/>
      <c r="CP75" s="150"/>
      <c r="CQ75" s="150"/>
      <c r="CR75" s="150"/>
      <c r="CS75" s="150"/>
      <c r="CT75" s="150"/>
      <c r="CU75" s="150"/>
    </row>
    <row r="76" spans="1:99" s="151" customFormat="1" ht="14.1" customHeight="1">
      <c r="A76" s="149" t="s">
        <v>330</v>
      </c>
      <c r="B76" s="164"/>
      <c r="C76" s="165"/>
      <c r="D76" s="165"/>
      <c r="E76" s="165"/>
      <c r="F76" s="165"/>
      <c r="G76" s="165"/>
      <c r="H76" s="165"/>
      <c r="I76" s="165"/>
      <c r="J76" s="165"/>
      <c r="K76" s="165"/>
      <c r="L76" s="165"/>
      <c r="M76" s="165"/>
      <c r="N76" s="165"/>
      <c r="O76" s="165"/>
      <c r="P76" s="165"/>
      <c r="Q76" s="165"/>
      <c r="R76" s="165"/>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50"/>
      <c r="BA76" s="150"/>
      <c r="BB76" s="150"/>
      <c r="BC76" s="150"/>
      <c r="BD76" s="150"/>
      <c r="BE76" s="150"/>
      <c r="BF76" s="150"/>
      <c r="BG76" s="150"/>
      <c r="BH76" s="150"/>
      <c r="BI76" s="150"/>
      <c r="BJ76" s="150"/>
      <c r="BK76" s="150"/>
      <c r="BL76" s="150"/>
      <c r="BM76" s="150"/>
      <c r="BN76" s="150"/>
      <c r="BO76" s="150"/>
      <c r="BP76" s="150"/>
      <c r="BQ76" s="150"/>
      <c r="BR76" s="150"/>
      <c r="BS76" s="150"/>
      <c r="BT76" s="150"/>
      <c r="BU76" s="150"/>
      <c r="BV76" s="150"/>
      <c r="BW76" s="150"/>
      <c r="BX76" s="150"/>
      <c r="BY76" s="150"/>
      <c r="BZ76" s="150"/>
      <c r="CA76" s="150"/>
      <c r="CB76" s="150"/>
      <c r="CC76" s="150"/>
      <c r="CD76" s="150"/>
      <c r="CE76" s="150"/>
      <c r="CF76" s="150"/>
      <c r="CG76" s="150"/>
      <c r="CH76" s="150"/>
      <c r="CI76" s="150"/>
      <c r="CJ76" s="150"/>
      <c r="CK76" s="150"/>
      <c r="CL76" s="150"/>
      <c r="CM76" s="150"/>
      <c r="CN76" s="150"/>
      <c r="CO76" s="150"/>
      <c r="CP76" s="150"/>
      <c r="CQ76" s="150"/>
      <c r="CR76" s="150"/>
      <c r="CS76" s="150"/>
      <c r="CT76" s="150"/>
      <c r="CU76" s="150"/>
    </row>
    <row r="77" spans="1:99" s="151" customFormat="1" ht="14.1" customHeight="1">
      <c r="A77" s="111"/>
      <c r="B77" s="166" t="s">
        <v>54</v>
      </c>
      <c r="C77" s="165"/>
      <c r="D77" s="165"/>
      <c r="E77" s="165"/>
      <c r="F77" s="165"/>
      <c r="G77" s="165"/>
      <c r="H77" s="165"/>
      <c r="I77" s="165"/>
      <c r="J77" s="165"/>
      <c r="K77" s="165"/>
      <c r="L77" s="165"/>
      <c r="M77" s="165"/>
      <c r="N77" s="165"/>
      <c r="O77" s="165"/>
      <c r="P77" s="165"/>
      <c r="Q77" s="165"/>
      <c r="R77" s="165"/>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50"/>
      <c r="BA77" s="150"/>
      <c r="BB77" s="150"/>
      <c r="BC77" s="150"/>
      <c r="BD77" s="150"/>
      <c r="BE77" s="150"/>
      <c r="BF77" s="150"/>
      <c r="BG77" s="150"/>
      <c r="BH77" s="150"/>
      <c r="BI77" s="150"/>
      <c r="BJ77" s="150"/>
      <c r="BK77" s="150"/>
      <c r="BL77" s="150"/>
      <c r="BM77" s="150"/>
      <c r="BN77" s="150"/>
      <c r="BO77" s="150"/>
      <c r="BP77" s="150"/>
      <c r="BQ77" s="150"/>
      <c r="BR77" s="150"/>
      <c r="BS77" s="150"/>
      <c r="BT77" s="150"/>
      <c r="BU77" s="150"/>
      <c r="BV77" s="150"/>
      <c r="BW77" s="150"/>
      <c r="BX77" s="150"/>
      <c r="BY77" s="150"/>
      <c r="BZ77" s="150"/>
      <c r="CA77" s="150"/>
      <c r="CB77" s="150"/>
      <c r="CC77" s="150"/>
      <c r="CD77" s="150"/>
      <c r="CE77" s="150"/>
      <c r="CF77" s="150"/>
      <c r="CG77" s="150"/>
      <c r="CH77" s="150"/>
      <c r="CI77" s="150"/>
      <c r="CJ77" s="150"/>
      <c r="CK77" s="150"/>
      <c r="CL77" s="150"/>
      <c r="CM77" s="150"/>
      <c r="CN77" s="150"/>
      <c r="CO77" s="150"/>
      <c r="CP77" s="150"/>
      <c r="CQ77" s="150"/>
      <c r="CR77" s="150"/>
      <c r="CS77" s="150"/>
      <c r="CT77" s="150"/>
      <c r="CU77" s="150"/>
    </row>
    <row r="78" spans="1:99" s="151" customFormat="1" ht="14.1" customHeight="1">
      <c r="A78" s="172"/>
      <c r="B78" s="173" t="s">
        <v>58</v>
      </c>
      <c r="C78" s="174">
        <f>C12</f>
        <v>44012</v>
      </c>
      <c r="D78" s="174">
        <f t="shared" ref="D78:R78" si="69">D12</f>
        <v>44027</v>
      </c>
      <c r="E78" s="174">
        <f t="shared" si="69"/>
        <v>44043</v>
      </c>
      <c r="F78" s="174">
        <f t="shared" si="69"/>
        <v>44058</v>
      </c>
      <c r="G78" s="174">
        <f t="shared" si="69"/>
        <v>44074</v>
      </c>
      <c r="H78" s="174">
        <f t="shared" si="69"/>
        <v>44104</v>
      </c>
      <c r="I78" s="174">
        <f t="shared" si="69"/>
        <v>44135</v>
      </c>
      <c r="J78" s="174">
        <f t="shared" si="69"/>
        <v>44165</v>
      </c>
      <c r="K78" s="174">
        <f t="shared" si="69"/>
        <v>44196</v>
      </c>
      <c r="L78" s="174">
        <f t="shared" si="69"/>
        <v>44227</v>
      </c>
      <c r="M78" s="174">
        <f t="shared" si="69"/>
        <v>44255</v>
      </c>
      <c r="N78" s="174">
        <f t="shared" si="69"/>
        <v>44286</v>
      </c>
      <c r="O78" s="174">
        <f t="shared" si="69"/>
        <v>44316</v>
      </c>
      <c r="P78" s="174">
        <f t="shared" si="69"/>
        <v>44331</v>
      </c>
      <c r="Q78" s="174">
        <f t="shared" si="69"/>
        <v>44347</v>
      </c>
      <c r="R78" s="174">
        <f t="shared" si="69"/>
        <v>44362</v>
      </c>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50"/>
      <c r="BA78" s="150"/>
      <c r="BB78" s="150"/>
      <c r="BC78" s="150"/>
      <c r="BD78" s="150"/>
      <c r="BE78" s="150"/>
      <c r="BF78" s="150"/>
      <c r="BG78" s="150"/>
      <c r="BH78" s="150"/>
      <c r="BI78" s="150"/>
      <c r="BJ78" s="150"/>
      <c r="BK78" s="150"/>
      <c r="BL78" s="150"/>
      <c r="BM78" s="150"/>
      <c r="BN78" s="150"/>
      <c r="BO78" s="150"/>
      <c r="BP78" s="150"/>
      <c r="BQ78" s="150"/>
      <c r="BR78" s="150"/>
      <c r="BS78" s="150"/>
      <c r="BT78" s="150"/>
      <c r="BU78" s="150"/>
      <c r="BV78" s="150"/>
      <c r="BW78" s="150"/>
      <c r="BX78" s="150"/>
      <c r="BY78" s="150"/>
      <c r="BZ78" s="150"/>
      <c r="CA78" s="150"/>
      <c r="CB78" s="150"/>
      <c r="CC78" s="150"/>
      <c r="CD78" s="150"/>
      <c r="CE78" s="150"/>
      <c r="CF78" s="150"/>
      <c r="CG78" s="150"/>
      <c r="CH78" s="150"/>
      <c r="CI78" s="150"/>
      <c r="CJ78" s="150"/>
      <c r="CK78" s="150"/>
      <c r="CL78" s="150"/>
      <c r="CM78" s="150"/>
      <c r="CN78" s="150"/>
      <c r="CO78" s="150"/>
      <c r="CP78" s="150"/>
      <c r="CQ78" s="150"/>
      <c r="CR78" s="150"/>
      <c r="CS78" s="150"/>
      <c r="CT78" s="150"/>
      <c r="CU78" s="150"/>
    </row>
    <row r="79" spans="1:99" s="151" customFormat="1" ht="14.1" customHeight="1">
      <c r="A79" s="163" t="s">
        <v>59</v>
      </c>
      <c r="B79" s="151">
        <v>12</v>
      </c>
      <c r="C79" s="151">
        <f t="shared" ref="C79:R79" si="70">ROUND((($U$6*X$13)+($V$6*X$34)+($U$6*AP$13)+($V$6*AP$34)+($W$6*(3-(AP$13+AP$34)))+($W$6*(9-(X$13+X$34))))*$AO$11,0)</f>
        <v>21264</v>
      </c>
      <c r="D79" s="151">
        <f t="shared" si="70"/>
        <v>21300</v>
      </c>
      <c r="E79" s="151">
        <f t="shared" si="70"/>
        <v>21335</v>
      </c>
      <c r="F79" s="151">
        <f t="shared" si="70"/>
        <v>21371</v>
      </c>
      <c r="G79" s="151">
        <f t="shared" si="70"/>
        <v>21406</v>
      </c>
      <c r="H79" s="151">
        <f t="shared" si="70"/>
        <v>21477</v>
      </c>
      <c r="I79" s="151">
        <f t="shared" si="70"/>
        <v>21548</v>
      </c>
      <c r="J79" s="151">
        <f t="shared" si="70"/>
        <v>21619</v>
      </c>
      <c r="K79" s="151">
        <f t="shared" si="70"/>
        <v>21690</v>
      </c>
      <c r="L79" s="151">
        <f t="shared" si="70"/>
        <v>21761</v>
      </c>
      <c r="M79" s="151">
        <f t="shared" si="70"/>
        <v>21832</v>
      </c>
      <c r="N79" s="151">
        <f t="shared" si="70"/>
        <v>21903</v>
      </c>
      <c r="O79" s="151">
        <f t="shared" si="70"/>
        <v>21974</v>
      </c>
      <c r="P79" s="151">
        <f t="shared" si="70"/>
        <v>22010</v>
      </c>
      <c r="Q79" s="151">
        <f t="shared" si="70"/>
        <v>22045</v>
      </c>
      <c r="R79" s="151">
        <f t="shared" si="70"/>
        <v>22081</v>
      </c>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150"/>
      <c r="AW79" s="150"/>
      <c r="AX79" s="150"/>
      <c r="AY79" s="150"/>
      <c r="AZ79" s="150"/>
      <c r="BA79" s="150"/>
      <c r="BB79" s="150"/>
      <c r="BC79" s="150"/>
      <c r="BD79" s="150"/>
      <c r="BE79" s="150"/>
      <c r="BF79" s="150"/>
      <c r="BG79" s="150"/>
      <c r="BH79" s="150"/>
      <c r="BI79" s="150"/>
      <c r="BJ79" s="150"/>
      <c r="BK79" s="150"/>
      <c r="BL79" s="150"/>
      <c r="BM79" s="150"/>
      <c r="BN79" s="150"/>
      <c r="BO79" s="150"/>
      <c r="BP79" s="150"/>
      <c r="BQ79" s="150"/>
      <c r="BR79" s="150"/>
      <c r="BS79" s="150"/>
      <c r="BT79" s="150"/>
      <c r="BU79" s="150"/>
      <c r="BV79" s="150"/>
      <c r="BW79" s="150"/>
      <c r="BX79" s="150"/>
      <c r="BY79" s="150"/>
      <c r="BZ79" s="150"/>
      <c r="CA79" s="150"/>
      <c r="CB79" s="150"/>
      <c r="CC79" s="150"/>
      <c r="CD79" s="150"/>
      <c r="CE79" s="150"/>
      <c r="CF79" s="150"/>
      <c r="CG79" s="150"/>
      <c r="CH79" s="150"/>
      <c r="CI79" s="150"/>
      <c r="CJ79" s="150"/>
      <c r="CK79" s="150"/>
      <c r="CL79" s="150"/>
      <c r="CM79" s="150"/>
      <c r="CN79" s="150"/>
      <c r="CO79" s="150"/>
      <c r="CP79" s="150"/>
      <c r="CQ79" s="150"/>
      <c r="CR79" s="150"/>
      <c r="CS79" s="150"/>
      <c r="CT79" s="150"/>
      <c r="CU79" s="150"/>
    </row>
    <row r="80" spans="1:99" s="151" customFormat="1" ht="14.1" customHeight="1">
      <c r="A80" s="163" t="s">
        <v>64</v>
      </c>
      <c r="B80" s="151">
        <v>11</v>
      </c>
      <c r="C80" s="151">
        <f t="shared" ref="C80:R80" si="71">ROUND((($U$6*X$14)+($V$6*X$35)+($U$6*AP$14)+($V$6*AP$35)+($W$6*(2-(AP$14+AP$35)))+($W$6*(9-(X$14+X$35))))*$AO$11,0)</f>
        <v>19492</v>
      </c>
      <c r="D80" s="151">
        <f t="shared" si="71"/>
        <v>19492</v>
      </c>
      <c r="E80" s="151">
        <f t="shared" si="71"/>
        <v>19492</v>
      </c>
      <c r="F80" s="151">
        <f t="shared" si="71"/>
        <v>19528</v>
      </c>
      <c r="G80" s="151">
        <f t="shared" si="71"/>
        <v>19563</v>
      </c>
      <c r="H80" s="151">
        <f t="shared" si="71"/>
        <v>19634</v>
      </c>
      <c r="I80" s="151">
        <f t="shared" si="71"/>
        <v>19705</v>
      </c>
      <c r="J80" s="151">
        <f t="shared" si="71"/>
        <v>19776</v>
      </c>
      <c r="K80" s="151">
        <f t="shared" si="71"/>
        <v>19847</v>
      </c>
      <c r="L80" s="151">
        <f t="shared" si="71"/>
        <v>19918</v>
      </c>
      <c r="M80" s="151">
        <f t="shared" si="71"/>
        <v>19989</v>
      </c>
      <c r="N80" s="151">
        <f t="shared" si="71"/>
        <v>20060</v>
      </c>
      <c r="O80" s="151">
        <f t="shared" si="71"/>
        <v>20131</v>
      </c>
      <c r="P80" s="151">
        <f t="shared" si="71"/>
        <v>20167</v>
      </c>
      <c r="Q80" s="151">
        <f t="shared" si="71"/>
        <v>20202</v>
      </c>
      <c r="R80" s="151">
        <f t="shared" si="71"/>
        <v>20238</v>
      </c>
      <c r="V80" s="150"/>
      <c r="W80" s="150"/>
      <c r="X80" s="150"/>
      <c r="Y80" s="150"/>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c r="CB80" s="150"/>
      <c r="CC80" s="150"/>
      <c r="CD80" s="150"/>
      <c r="CE80" s="150"/>
      <c r="CF80" s="150"/>
      <c r="CG80" s="150"/>
      <c r="CH80" s="150"/>
      <c r="CI80" s="150"/>
      <c r="CJ80" s="150"/>
      <c r="CK80" s="150"/>
      <c r="CL80" s="150"/>
      <c r="CM80" s="150"/>
      <c r="CN80" s="150"/>
      <c r="CO80" s="150"/>
      <c r="CP80" s="150"/>
      <c r="CQ80" s="150"/>
      <c r="CR80" s="150"/>
      <c r="CS80" s="150"/>
      <c r="CT80" s="150"/>
      <c r="CU80" s="150"/>
    </row>
    <row r="81" spans="1:99" s="151" customFormat="1" ht="14.1" customHeight="1">
      <c r="A81" s="163" t="s">
        <v>68</v>
      </c>
      <c r="B81" s="151">
        <v>10</v>
      </c>
      <c r="C81" s="151">
        <f t="shared" ref="C81:R81" si="72">ROUND((($U$6*X$15)+($V$6*X$36)+($U$6*AP$15)+($V$6*AP$36)+($W$6*(1-(AP$15+AP$36)))+($W$6*(9-(X$15+X$36))))*$AO$11,0)</f>
        <v>17720</v>
      </c>
      <c r="D81" s="151">
        <f t="shared" si="72"/>
        <v>17720</v>
      </c>
      <c r="E81" s="151">
        <f t="shared" si="72"/>
        <v>17720</v>
      </c>
      <c r="F81" s="151">
        <f t="shared" si="72"/>
        <v>17720</v>
      </c>
      <c r="G81" s="151">
        <f t="shared" si="72"/>
        <v>17756</v>
      </c>
      <c r="H81" s="151">
        <f t="shared" si="72"/>
        <v>17827</v>
      </c>
      <c r="I81" s="151">
        <f t="shared" si="72"/>
        <v>17898</v>
      </c>
      <c r="J81" s="151">
        <f t="shared" si="72"/>
        <v>17969</v>
      </c>
      <c r="K81" s="151">
        <f t="shared" si="72"/>
        <v>18040</v>
      </c>
      <c r="L81" s="151">
        <f t="shared" si="72"/>
        <v>18111</v>
      </c>
      <c r="M81" s="151">
        <f t="shared" si="72"/>
        <v>18182</v>
      </c>
      <c r="N81" s="151">
        <f t="shared" si="72"/>
        <v>18253</v>
      </c>
      <c r="O81" s="151">
        <f t="shared" si="72"/>
        <v>18324</v>
      </c>
      <c r="P81" s="151">
        <f t="shared" si="72"/>
        <v>18359</v>
      </c>
      <c r="Q81" s="151">
        <f t="shared" si="72"/>
        <v>18359</v>
      </c>
      <c r="R81" s="151">
        <f t="shared" si="72"/>
        <v>18395</v>
      </c>
      <c r="V81" s="150"/>
      <c r="W81" s="150"/>
      <c r="X81" s="150"/>
      <c r="Y81" s="150"/>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c r="CB81" s="150"/>
      <c r="CC81" s="150"/>
      <c r="CD81" s="150"/>
      <c r="CE81" s="150"/>
      <c r="CF81" s="150"/>
      <c r="CG81" s="150"/>
      <c r="CH81" s="150"/>
      <c r="CI81" s="150"/>
      <c r="CJ81" s="150"/>
      <c r="CK81" s="150"/>
      <c r="CL81" s="150"/>
      <c r="CM81" s="150"/>
      <c r="CN81" s="150"/>
      <c r="CO81" s="150"/>
      <c r="CP81" s="150"/>
      <c r="CQ81" s="150"/>
      <c r="CR81" s="150"/>
      <c r="CS81" s="150"/>
      <c r="CT81" s="150"/>
      <c r="CU81" s="150"/>
    </row>
    <row r="82" spans="1:99" s="151" customFormat="1" ht="14.1" customHeight="1">
      <c r="A82" s="163" t="s">
        <v>70</v>
      </c>
      <c r="B82" s="151">
        <v>9</v>
      </c>
      <c r="C82" s="151">
        <f t="shared" ref="C82:R82" si="73">ROUND((($U$6*X$16)+($V$6*X$37)+($U$6*AP$16)+($V$6*AP$37)+($W$6*(0-(AP$16+AP$37)))+($W$6*(9-(X$16+X$37))))*$AO$11,0)</f>
        <v>15948</v>
      </c>
      <c r="D82" s="151">
        <f t="shared" si="73"/>
        <v>15948</v>
      </c>
      <c r="E82" s="151">
        <f t="shared" si="73"/>
        <v>15948</v>
      </c>
      <c r="F82" s="151">
        <f t="shared" si="73"/>
        <v>15948</v>
      </c>
      <c r="G82" s="151">
        <f t="shared" si="73"/>
        <v>15984</v>
      </c>
      <c r="H82" s="151">
        <f t="shared" si="73"/>
        <v>16055</v>
      </c>
      <c r="I82" s="151">
        <f t="shared" si="73"/>
        <v>16126</v>
      </c>
      <c r="J82" s="151">
        <f t="shared" si="73"/>
        <v>16197</v>
      </c>
      <c r="K82" s="151">
        <f t="shared" si="73"/>
        <v>16268</v>
      </c>
      <c r="L82" s="151">
        <f t="shared" si="73"/>
        <v>16339</v>
      </c>
      <c r="M82" s="151">
        <f t="shared" si="73"/>
        <v>16410</v>
      </c>
      <c r="N82" s="151">
        <f t="shared" si="73"/>
        <v>16481</v>
      </c>
      <c r="O82" s="151">
        <f t="shared" si="73"/>
        <v>16552</v>
      </c>
      <c r="P82" s="151">
        <f t="shared" si="73"/>
        <v>16587</v>
      </c>
      <c r="Q82" s="151">
        <f t="shared" si="73"/>
        <v>16587</v>
      </c>
      <c r="R82" s="151">
        <f t="shared" si="73"/>
        <v>16587</v>
      </c>
      <c r="V82" s="150"/>
      <c r="W82" s="150"/>
      <c r="X82" s="150"/>
      <c r="Y82" s="150"/>
      <c r="Z82" s="150"/>
      <c r="AA82" s="150"/>
      <c r="AB82" s="150"/>
      <c r="AC82" s="150"/>
      <c r="AD82" s="150"/>
      <c r="AE82" s="150"/>
      <c r="AF82" s="150"/>
      <c r="AG82" s="150"/>
      <c r="AH82" s="150"/>
      <c r="AI82" s="150"/>
      <c r="AJ82" s="150"/>
      <c r="AK82" s="150"/>
      <c r="AL82" s="150"/>
      <c r="AM82" s="150"/>
      <c r="AN82" s="150"/>
      <c r="AO82" s="150"/>
      <c r="AP82" s="150"/>
      <c r="AQ82" s="150"/>
      <c r="AR82" s="150"/>
      <c r="AS82" s="150"/>
      <c r="AT82" s="150"/>
      <c r="AU82" s="150"/>
      <c r="AV82" s="150"/>
      <c r="AW82" s="150"/>
      <c r="AX82" s="150"/>
      <c r="AY82" s="150"/>
      <c r="AZ82" s="150"/>
      <c r="BA82" s="150"/>
      <c r="BB82" s="150"/>
      <c r="BC82" s="150"/>
      <c r="BD82" s="150"/>
      <c r="BE82" s="150"/>
      <c r="BF82" s="150"/>
      <c r="BG82" s="150"/>
      <c r="BH82" s="150"/>
      <c r="BI82" s="150"/>
      <c r="BJ82" s="150"/>
      <c r="BK82" s="150"/>
      <c r="BL82" s="150"/>
      <c r="BM82" s="150"/>
      <c r="BN82" s="150"/>
      <c r="BO82" s="150"/>
      <c r="BP82" s="150"/>
      <c r="BQ82" s="150"/>
      <c r="BR82" s="150"/>
      <c r="BS82" s="150"/>
      <c r="BT82" s="150"/>
      <c r="BU82" s="150"/>
      <c r="BV82" s="150"/>
      <c r="BW82" s="150"/>
      <c r="BX82" s="150"/>
      <c r="BY82" s="150"/>
      <c r="BZ82" s="150"/>
      <c r="CA82" s="150"/>
      <c r="CB82" s="150"/>
      <c r="CC82" s="150"/>
      <c r="CD82" s="150"/>
      <c r="CE82" s="150"/>
      <c r="CF82" s="150"/>
      <c r="CG82" s="150"/>
      <c r="CH82" s="150"/>
      <c r="CI82" s="150"/>
      <c r="CJ82" s="150"/>
      <c r="CK82" s="150"/>
      <c r="CL82" s="150"/>
      <c r="CM82" s="150"/>
      <c r="CN82" s="150"/>
      <c r="CO82" s="150"/>
      <c r="CP82" s="150"/>
      <c r="CQ82" s="150"/>
      <c r="CR82" s="150"/>
      <c r="CS82" s="150"/>
      <c r="CT82" s="150"/>
      <c r="CU82" s="150"/>
    </row>
    <row r="83" spans="1:99" s="151" customFormat="1" ht="14.1" customHeight="1">
      <c r="A83" s="163" t="s">
        <v>72</v>
      </c>
      <c r="B83" s="151">
        <v>3</v>
      </c>
      <c r="C83" s="151">
        <f t="shared" ref="C83:R83" si="74">ROUND((($U$6*X$17)+($V$6*X$38)+($U$6*AP$17)+($V$6*AP$38)+($W$6*(3-(AP$17+AP$38)))+($W$6*(0-(X$17+X$38))))*$AO$11,0)</f>
        <v>5316</v>
      </c>
      <c r="D83" s="151">
        <f t="shared" si="74"/>
        <v>5352</v>
      </c>
      <c r="E83" s="151">
        <f t="shared" si="74"/>
        <v>5387</v>
      </c>
      <c r="F83" s="151">
        <f t="shared" si="74"/>
        <v>5423</v>
      </c>
      <c r="G83" s="151">
        <f t="shared" si="74"/>
        <v>5423</v>
      </c>
      <c r="H83" s="151">
        <f t="shared" si="74"/>
        <v>5423</v>
      </c>
      <c r="I83" s="151">
        <f t="shared" si="74"/>
        <v>5423</v>
      </c>
      <c r="J83" s="151">
        <f t="shared" si="74"/>
        <v>5423</v>
      </c>
      <c r="K83" s="151">
        <f t="shared" si="74"/>
        <v>5423</v>
      </c>
      <c r="L83" s="151">
        <f t="shared" si="74"/>
        <v>5423</v>
      </c>
      <c r="M83" s="151">
        <f t="shared" si="74"/>
        <v>5423</v>
      </c>
      <c r="N83" s="151">
        <f t="shared" si="74"/>
        <v>5423</v>
      </c>
      <c r="O83" s="151">
        <f t="shared" si="74"/>
        <v>5423</v>
      </c>
      <c r="P83" s="151">
        <f t="shared" si="74"/>
        <v>5423</v>
      </c>
      <c r="Q83" s="151">
        <f t="shared" si="74"/>
        <v>5458</v>
      </c>
      <c r="R83" s="151">
        <f t="shared" si="74"/>
        <v>5494</v>
      </c>
      <c r="V83" s="150"/>
      <c r="W83" s="150"/>
      <c r="X83" s="150"/>
      <c r="Y83" s="150"/>
      <c r="Z83" s="150"/>
      <c r="AA83" s="150"/>
      <c r="AB83" s="150"/>
      <c r="AC83" s="150"/>
      <c r="AD83" s="150"/>
      <c r="AE83" s="150"/>
      <c r="AF83" s="150"/>
      <c r="AG83" s="150"/>
      <c r="AH83" s="150"/>
      <c r="AI83" s="150"/>
      <c r="AJ83" s="150"/>
      <c r="AK83" s="150"/>
      <c r="AL83" s="150"/>
      <c r="AM83" s="150"/>
      <c r="AN83" s="150"/>
      <c r="AO83" s="150"/>
      <c r="AP83" s="150"/>
      <c r="AQ83" s="150"/>
      <c r="AR83" s="150"/>
      <c r="AS83" s="150"/>
      <c r="AT83" s="150"/>
      <c r="AU83" s="150"/>
      <c r="AV83" s="150"/>
      <c r="AW83" s="150"/>
      <c r="AX83" s="150"/>
      <c r="AY83" s="150"/>
      <c r="AZ83" s="150"/>
      <c r="BA83" s="150"/>
      <c r="BB83" s="150"/>
      <c r="BC83" s="150"/>
      <c r="BD83" s="150"/>
      <c r="BE83" s="150"/>
      <c r="BF83" s="150"/>
      <c r="BG83" s="150"/>
      <c r="BH83" s="150"/>
      <c r="BI83" s="150"/>
      <c r="BJ83" s="150"/>
      <c r="BK83" s="150"/>
      <c r="BL83" s="150"/>
      <c r="BM83" s="150"/>
      <c r="BN83" s="150"/>
      <c r="BO83" s="150"/>
      <c r="BP83" s="150"/>
      <c r="BQ83" s="150"/>
      <c r="BR83" s="150"/>
      <c r="BS83" s="150"/>
      <c r="BT83" s="150"/>
      <c r="BU83" s="150"/>
      <c r="BV83" s="150"/>
      <c r="BW83" s="150"/>
      <c r="BX83" s="150"/>
      <c r="BY83" s="150"/>
      <c r="BZ83" s="150"/>
      <c r="CA83" s="150"/>
      <c r="CB83" s="150"/>
      <c r="CC83" s="150"/>
      <c r="CD83" s="150"/>
      <c r="CE83" s="150"/>
      <c r="CF83" s="150"/>
      <c r="CG83" s="150"/>
      <c r="CH83" s="150"/>
      <c r="CI83" s="150"/>
      <c r="CJ83" s="150"/>
      <c r="CK83" s="150"/>
      <c r="CL83" s="150"/>
      <c r="CM83" s="150"/>
      <c r="CN83" s="150"/>
      <c r="CO83" s="150"/>
      <c r="CP83" s="150"/>
      <c r="CQ83" s="150"/>
      <c r="CR83" s="150"/>
      <c r="CS83" s="150"/>
      <c r="CT83" s="150"/>
      <c r="CU83" s="150"/>
    </row>
    <row r="84" spans="1:99" s="151" customFormat="1" ht="14.1" customHeight="1">
      <c r="A84" s="163" t="s">
        <v>75</v>
      </c>
      <c r="B84" s="151">
        <v>2</v>
      </c>
      <c r="C84" s="151">
        <f t="shared" ref="C84:R84" si="75">ROUND((($U$6*X$18)+($V$6*X$39)+($U$6*AP$18)+($V$6*AP$39)+($W$6*(2-(AP$18+AP$39)))+($W$6*(0-(X$18+X$39))))*$AO$11,0)</f>
        <v>3544</v>
      </c>
      <c r="D84" s="151">
        <f t="shared" si="75"/>
        <v>3544</v>
      </c>
      <c r="E84" s="151">
        <f t="shared" si="75"/>
        <v>3544</v>
      </c>
      <c r="F84" s="151">
        <f t="shared" si="75"/>
        <v>3580</v>
      </c>
      <c r="G84" s="151">
        <f t="shared" si="75"/>
        <v>3580</v>
      </c>
      <c r="H84" s="151">
        <f t="shared" si="75"/>
        <v>3580</v>
      </c>
      <c r="I84" s="151">
        <f t="shared" si="75"/>
        <v>3580</v>
      </c>
      <c r="J84" s="151">
        <f t="shared" si="75"/>
        <v>3580</v>
      </c>
      <c r="K84" s="151">
        <f t="shared" si="75"/>
        <v>3580</v>
      </c>
      <c r="L84" s="151">
        <f t="shared" si="75"/>
        <v>3580</v>
      </c>
      <c r="M84" s="151">
        <f t="shared" si="75"/>
        <v>3580</v>
      </c>
      <c r="N84" s="151">
        <f t="shared" si="75"/>
        <v>3580</v>
      </c>
      <c r="O84" s="151">
        <f t="shared" si="75"/>
        <v>3580</v>
      </c>
      <c r="P84" s="151">
        <f t="shared" si="75"/>
        <v>3580</v>
      </c>
      <c r="Q84" s="151">
        <f t="shared" si="75"/>
        <v>3615</v>
      </c>
      <c r="R84" s="151">
        <f t="shared" si="75"/>
        <v>3651</v>
      </c>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0"/>
      <c r="AY84" s="150"/>
      <c r="AZ84" s="150"/>
      <c r="BA84" s="150"/>
      <c r="BB84" s="150"/>
      <c r="BC84" s="150"/>
      <c r="BD84" s="150"/>
      <c r="BE84" s="150"/>
      <c r="BF84" s="150"/>
      <c r="BG84" s="150"/>
      <c r="BH84" s="150"/>
      <c r="BI84" s="150"/>
      <c r="BJ84" s="150"/>
      <c r="BK84" s="150"/>
      <c r="BL84" s="150"/>
      <c r="BM84" s="150"/>
      <c r="BN84" s="150"/>
      <c r="BO84" s="150"/>
      <c r="BP84" s="150"/>
      <c r="BQ84" s="150"/>
      <c r="BR84" s="150"/>
      <c r="BS84" s="150"/>
      <c r="BT84" s="150"/>
      <c r="BU84" s="150"/>
      <c r="BV84" s="150"/>
      <c r="BW84" s="150"/>
      <c r="BX84" s="150"/>
      <c r="BY84" s="150"/>
      <c r="BZ84" s="150"/>
      <c r="CA84" s="150"/>
      <c r="CB84" s="150"/>
      <c r="CC84" s="150"/>
      <c r="CD84" s="150"/>
      <c r="CE84" s="150"/>
      <c r="CF84" s="150"/>
      <c r="CG84" s="150"/>
      <c r="CH84" s="150"/>
      <c r="CI84" s="150"/>
      <c r="CJ84" s="150"/>
      <c r="CK84" s="150"/>
      <c r="CL84" s="150"/>
      <c r="CM84" s="150"/>
      <c r="CN84" s="150"/>
      <c r="CO84" s="150"/>
      <c r="CP84" s="150"/>
      <c r="CQ84" s="150"/>
      <c r="CR84" s="150"/>
      <c r="CS84" s="150"/>
      <c r="CT84" s="150"/>
      <c r="CU84" s="150"/>
    </row>
    <row r="85" spans="1:99" s="151" customFormat="1" ht="14.1" customHeight="1">
      <c r="A85" s="163" t="s">
        <v>77</v>
      </c>
      <c r="B85" s="151">
        <v>1</v>
      </c>
      <c r="C85" s="151">
        <f t="shared" ref="C85:R85" si="76">ROUND((($U$6*X$19)+($V$6*X$40)+($U$6*AP$19)+($V$6*AP$40)+($W$6*(1-(AP$19+AP$40)))+($W$6*(0-(X$19+X$40))))*$AO$11,0)</f>
        <v>1772</v>
      </c>
      <c r="D85" s="151">
        <f t="shared" si="76"/>
        <v>1772</v>
      </c>
      <c r="E85" s="151">
        <f t="shared" si="76"/>
        <v>1772</v>
      </c>
      <c r="F85" s="151">
        <f t="shared" si="76"/>
        <v>1772</v>
      </c>
      <c r="G85" s="151">
        <f t="shared" si="76"/>
        <v>1772</v>
      </c>
      <c r="H85" s="151">
        <f t="shared" si="76"/>
        <v>1772</v>
      </c>
      <c r="I85" s="151">
        <f t="shared" si="76"/>
        <v>1772</v>
      </c>
      <c r="J85" s="151">
        <f t="shared" si="76"/>
        <v>1772</v>
      </c>
      <c r="K85" s="151">
        <f t="shared" si="76"/>
        <v>1772</v>
      </c>
      <c r="L85" s="151">
        <f t="shared" si="76"/>
        <v>1772</v>
      </c>
      <c r="M85" s="151">
        <f t="shared" si="76"/>
        <v>1772</v>
      </c>
      <c r="N85" s="151">
        <f t="shared" si="76"/>
        <v>1772</v>
      </c>
      <c r="O85" s="151">
        <f t="shared" si="76"/>
        <v>1772</v>
      </c>
      <c r="P85" s="151">
        <f t="shared" si="76"/>
        <v>1772</v>
      </c>
      <c r="Q85" s="151">
        <f t="shared" si="76"/>
        <v>1772</v>
      </c>
      <c r="R85" s="151">
        <f t="shared" si="76"/>
        <v>1808</v>
      </c>
      <c r="V85" s="150"/>
      <c r="W85" s="150"/>
      <c r="X85" s="150"/>
      <c r="Y85" s="1533" t="s">
        <v>595</v>
      </c>
      <c r="Z85" s="1533"/>
      <c r="AA85" s="150"/>
      <c r="AB85" s="150"/>
      <c r="AC85" s="1533" t="s">
        <v>595</v>
      </c>
      <c r="AD85" s="1533"/>
      <c r="AE85" s="150"/>
      <c r="AF85" s="150"/>
      <c r="AG85" s="150"/>
      <c r="AH85" s="150"/>
      <c r="AI85" s="150"/>
      <c r="AJ85" s="150"/>
      <c r="AK85" s="150"/>
      <c r="AL85" s="150"/>
      <c r="AM85" s="150"/>
      <c r="AN85" s="150"/>
      <c r="AO85" s="150"/>
      <c r="AP85" s="150"/>
      <c r="AQ85" s="150"/>
      <c r="AR85" s="150"/>
      <c r="AS85" s="150"/>
      <c r="AT85" s="150"/>
      <c r="AU85" s="150"/>
      <c r="AV85" s="150"/>
      <c r="AW85" s="150"/>
      <c r="AX85" s="150"/>
      <c r="AY85" s="150"/>
      <c r="AZ85" s="150"/>
      <c r="BA85" s="150"/>
      <c r="BB85" s="150"/>
      <c r="BC85" s="150"/>
      <c r="BD85" s="150"/>
      <c r="BE85" s="150"/>
      <c r="BF85" s="150"/>
      <c r="BG85" s="150"/>
      <c r="BH85" s="150"/>
      <c r="BI85" s="150"/>
      <c r="BJ85" s="150"/>
      <c r="BK85" s="150"/>
      <c r="BL85" s="150"/>
      <c r="BM85" s="150"/>
      <c r="BN85" s="150"/>
      <c r="BO85" s="150"/>
      <c r="BP85" s="150"/>
      <c r="BQ85" s="150"/>
      <c r="BR85" s="150"/>
      <c r="BS85" s="150"/>
      <c r="BT85" s="150"/>
      <c r="BU85" s="150"/>
      <c r="BV85" s="150"/>
      <c r="BW85" s="150"/>
      <c r="BX85" s="150"/>
      <c r="BY85" s="150"/>
      <c r="BZ85" s="150"/>
      <c r="CA85" s="150"/>
      <c r="CB85" s="150"/>
      <c r="CC85" s="150"/>
      <c r="CD85" s="150"/>
      <c r="CE85" s="150"/>
      <c r="CF85" s="150"/>
      <c r="CG85" s="150"/>
      <c r="CH85" s="150"/>
      <c r="CI85" s="150"/>
      <c r="CJ85" s="150"/>
      <c r="CK85" s="150"/>
      <c r="CL85" s="150"/>
      <c r="CM85" s="150"/>
      <c r="CN85" s="150"/>
      <c r="CO85" s="150"/>
      <c r="CP85" s="150"/>
      <c r="CQ85" s="150"/>
      <c r="CR85" s="150"/>
      <c r="CS85" s="150"/>
      <c r="CT85" s="150"/>
      <c r="CU85" s="150"/>
    </row>
    <row r="86" spans="1:99" ht="14.1" customHeight="1" thickBot="1">
      <c r="A86" s="163"/>
      <c r="B86" s="151"/>
      <c r="C86" s="151"/>
      <c r="D86" s="151"/>
      <c r="E86" s="151"/>
      <c r="F86" s="151"/>
      <c r="G86" s="151"/>
      <c r="H86" s="151"/>
      <c r="I86" s="151"/>
      <c r="J86" s="151"/>
      <c r="K86" s="151"/>
      <c r="L86" s="151"/>
      <c r="M86" s="151"/>
      <c r="N86" s="151"/>
      <c r="O86" s="151"/>
      <c r="P86" s="151"/>
      <c r="Q86" s="151"/>
      <c r="R86" s="151"/>
    </row>
    <row r="87" spans="1:99" s="151" customFormat="1" ht="14.1" customHeight="1">
      <c r="A87" s="149" t="s">
        <v>331</v>
      </c>
      <c r="B87" s="164"/>
      <c r="C87" s="165"/>
      <c r="D87" s="165"/>
      <c r="E87" s="165"/>
      <c r="F87" s="165"/>
      <c r="G87" s="165"/>
      <c r="H87" s="165"/>
      <c r="I87" s="165"/>
      <c r="J87" s="165"/>
      <c r="K87" s="165"/>
      <c r="L87" s="165"/>
      <c r="M87" s="165"/>
      <c r="N87" s="165"/>
      <c r="O87" s="165"/>
      <c r="P87" s="165"/>
      <c r="Q87" s="165"/>
      <c r="R87" s="165"/>
      <c r="U87" s="152"/>
      <c r="X87" s="807" t="s">
        <v>81</v>
      </c>
      <c r="Y87" s="808"/>
      <c r="Z87" s="809"/>
      <c r="AB87" s="807" t="s">
        <v>82</v>
      </c>
      <c r="AC87" s="808"/>
      <c r="AD87" s="809"/>
      <c r="AF87" s="1158" t="s">
        <v>83</v>
      </c>
      <c r="AG87" s="1159"/>
      <c r="AH87" s="1160"/>
    </row>
    <row r="88" spans="1:99" s="151" customFormat="1" ht="14.1" customHeight="1">
      <c r="A88" s="111"/>
      <c r="B88" s="166" t="s">
        <v>54</v>
      </c>
      <c r="C88" s="165"/>
      <c r="D88" s="165"/>
      <c r="E88" s="165"/>
      <c r="F88" s="165"/>
      <c r="G88" s="165"/>
      <c r="H88" s="165"/>
      <c r="I88" s="165"/>
      <c r="J88" s="165"/>
      <c r="K88" s="165"/>
      <c r="L88" s="165"/>
      <c r="M88" s="165"/>
      <c r="N88" s="165"/>
      <c r="O88" s="165"/>
      <c r="P88" s="165"/>
      <c r="Q88" s="165"/>
      <c r="R88" s="165"/>
      <c r="W88" s="151" t="s">
        <v>597</v>
      </c>
      <c r="X88" s="810">
        <v>12297</v>
      </c>
      <c r="Y88" s="813">
        <f>ROUND(X88*1.04,0)</f>
        <v>12789</v>
      </c>
      <c r="Z88" s="814">
        <f>ROUND(Y88*1.04,0)</f>
        <v>13301</v>
      </c>
      <c r="AB88" s="810">
        <v>27842</v>
      </c>
      <c r="AC88" s="813">
        <f>ROUND(AB88*1.04,0)</f>
        <v>28956</v>
      </c>
      <c r="AD88" s="814">
        <f>ROUND(AC88*1.04,0)</f>
        <v>30114</v>
      </c>
      <c r="AF88" s="1161">
        <v>2524</v>
      </c>
      <c r="AG88" s="1162">
        <f>ROUND(AF88*1.04,0)</f>
        <v>2625</v>
      </c>
      <c r="AH88" s="1163">
        <f>ROUND(AG88*1.04,0)</f>
        <v>2730</v>
      </c>
    </row>
    <row r="89" spans="1:99" s="151" customFormat="1" ht="14.1" customHeight="1" thickBot="1">
      <c r="A89" s="172"/>
      <c r="B89" s="173" t="s">
        <v>58</v>
      </c>
      <c r="C89" s="174">
        <f>C12</f>
        <v>44012</v>
      </c>
      <c r="D89" s="174">
        <f t="shared" ref="D89:R89" si="77">D12</f>
        <v>44027</v>
      </c>
      <c r="E89" s="174">
        <f t="shared" si="77"/>
        <v>44043</v>
      </c>
      <c r="F89" s="174">
        <f t="shared" si="77"/>
        <v>44058</v>
      </c>
      <c r="G89" s="174">
        <f t="shared" si="77"/>
        <v>44074</v>
      </c>
      <c r="H89" s="174">
        <f t="shared" si="77"/>
        <v>44104</v>
      </c>
      <c r="I89" s="174">
        <f t="shared" si="77"/>
        <v>44135</v>
      </c>
      <c r="J89" s="174">
        <f t="shared" si="77"/>
        <v>44165</v>
      </c>
      <c r="K89" s="174">
        <f t="shared" si="77"/>
        <v>44196</v>
      </c>
      <c r="L89" s="174">
        <f t="shared" si="77"/>
        <v>44227</v>
      </c>
      <c r="M89" s="174">
        <f t="shared" si="77"/>
        <v>44255</v>
      </c>
      <c r="N89" s="174">
        <f t="shared" si="77"/>
        <v>44286</v>
      </c>
      <c r="O89" s="174">
        <f t="shared" si="77"/>
        <v>44316</v>
      </c>
      <c r="P89" s="174">
        <f t="shared" si="77"/>
        <v>44331</v>
      </c>
      <c r="Q89" s="174">
        <f t="shared" si="77"/>
        <v>44347</v>
      </c>
      <c r="R89" s="174">
        <f t="shared" si="77"/>
        <v>44362</v>
      </c>
      <c r="W89" s="152" t="s">
        <v>596</v>
      </c>
      <c r="X89" s="811">
        <v>1799.55</v>
      </c>
      <c r="Y89" s="816">
        <f>X89*1.04</f>
        <v>1871.5319999999999</v>
      </c>
      <c r="Z89" s="812">
        <v>0</v>
      </c>
      <c r="AB89" s="811">
        <f>X89</f>
        <v>1799.55</v>
      </c>
      <c r="AC89" s="816">
        <f>AB89*1.04</f>
        <v>1871.5319999999999</v>
      </c>
      <c r="AD89" s="812">
        <v>0</v>
      </c>
      <c r="AF89" s="1164"/>
      <c r="AG89" s="1165"/>
      <c r="AH89" s="1166"/>
    </row>
    <row r="90" spans="1:99" s="151" customFormat="1" ht="14.1" customHeight="1">
      <c r="A90" s="163" t="s">
        <v>59</v>
      </c>
      <c r="B90" s="151">
        <v>12</v>
      </c>
      <c r="C90" s="151">
        <f t="shared" ref="C90:R90" si="78">ROUND((($U$7*X$13)+($V$7*X$34)+($U$7*AP$13)+($V$7*AP$34)+($W$7*(3-(AP$13+AP$34)))+($W$7*(9-(X$13+X$34))))*$AO$11,0)</f>
        <v>20040</v>
      </c>
      <c r="D90" s="151">
        <f t="shared" si="78"/>
        <v>20074</v>
      </c>
      <c r="E90" s="151">
        <f t="shared" si="78"/>
        <v>20107</v>
      </c>
      <c r="F90" s="151">
        <f t="shared" si="78"/>
        <v>20141</v>
      </c>
      <c r="G90" s="151">
        <f t="shared" si="78"/>
        <v>20174</v>
      </c>
      <c r="H90" s="151">
        <f t="shared" si="78"/>
        <v>20241</v>
      </c>
      <c r="I90" s="151">
        <f t="shared" si="78"/>
        <v>20308</v>
      </c>
      <c r="J90" s="151">
        <f t="shared" si="78"/>
        <v>20375</v>
      </c>
      <c r="K90" s="151">
        <f t="shared" si="78"/>
        <v>20442</v>
      </c>
      <c r="L90" s="151">
        <f t="shared" si="78"/>
        <v>20509</v>
      </c>
      <c r="M90" s="151">
        <f t="shared" si="78"/>
        <v>20576</v>
      </c>
      <c r="N90" s="151">
        <f t="shared" si="78"/>
        <v>20643</v>
      </c>
      <c r="O90" s="151">
        <f t="shared" si="78"/>
        <v>20710</v>
      </c>
      <c r="P90" s="151">
        <f t="shared" si="78"/>
        <v>20744</v>
      </c>
      <c r="Q90" s="151">
        <f t="shared" si="78"/>
        <v>20777</v>
      </c>
      <c r="R90" s="151">
        <f t="shared" si="78"/>
        <v>20811</v>
      </c>
    </row>
    <row r="91" spans="1:99" s="151" customFormat="1" ht="14.1" customHeight="1">
      <c r="A91" s="163" t="s">
        <v>64</v>
      </c>
      <c r="B91" s="151">
        <v>11</v>
      </c>
      <c r="C91" s="151">
        <f t="shared" ref="C91:R91" si="79">ROUND((($U$7*X$14)+($V$7*X$35)+($U$7*AP$14)+($V$7*AP$35)+($W$7*(2-(AP$14+AP$35)))+($W$7*(9-(X$14+X$35))))*$AO$11,0)</f>
        <v>18370</v>
      </c>
      <c r="D91" s="151">
        <f t="shared" si="79"/>
        <v>18370</v>
      </c>
      <c r="E91" s="151">
        <f t="shared" si="79"/>
        <v>18370</v>
      </c>
      <c r="F91" s="151">
        <f t="shared" si="79"/>
        <v>18404</v>
      </c>
      <c r="G91" s="151">
        <f t="shared" si="79"/>
        <v>18437</v>
      </c>
      <c r="H91" s="151">
        <f t="shared" si="79"/>
        <v>18504</v>
      </c>
      <c r="I91" s="151">
        <f t="shared" si="79"/>
        <v>18571</v>
      </c>
      <c r="J91" s="151">
        <f t="shared" si="79"/>
        <v>18638</v>
      </c>
      <c r="K91" s="151">
        <f t="shared" si="79"/>
        <v>18705</v>
      </c>
      <c r="L91" s="151">
        <f t="shared" si="79"/>
        <v>18772</v>
      </c>
      <c r="M91" s="151">
        <f t="shared" si="79"/>
        <v>18839</v>
      </c>
      <c r="N91" s="151">
        <f t="shared" si="79"/>
        <v>18906</v>
      </c>
      <c r="O91" s="151">
        <f t="shared" si="79"/>
        <v>18973</v>
      </c>
      <c r="P91" s="151">
        <f t="shared" si="79"/>
        <v>19007</v>
      </c>
      <c r="Q91" s="151">
        <f t="shared" si="79"/>
        <v>19040</v>
      </c>
      <c r="R91" s="151">
        <f t="shared" si="79"/>
        <v>19074</v>
      </c>
      <c r="W91" s="150"/>
      <c r="X91" s="150"/>
    </row>
    <row r="92" spans="1:99" s="151" customFormat="1" ht="14.1" customHeight="1">
      <c r="A92" s="163" t="s">
        <v>68</v>
      </c>
      <c r="B92" s="151">
        <v>10</v>
      </c>
      <c r="C92" s="151">
        <f t="shared" ref="C92:R92" si="80">ROUND((($U$7*X$15)+($V$7*X$36)+($U$7*AP$15)+($V$7*AP$36)+($W$7*(1-(AP$15+AP$36)))+($W$7*(9-(X$15+X$36))))*$AO$11,0)</f>
        <v>16700</v>
      </c>
      <c r="D92" s="151">
        <f t="shared" si="80"/>
        <v>16700</v>
      </c>
      <c r="E92" s="151">
        <f t="shared" si="80"/>
        <v>16700</v>
      </c>
      <c r="F92" s="151">
        <f t="shared" si="80"/>
        <v>16700</v>
      </c>
      <c r="G92" s="151">
        <f t="shared" si="80"/>
        <v>16734</v>
      </c>
      <c r="H92" s="151">
        <f t="shared" si="80"/>
        <v>16801</v>
      </c>
      <c r="I92" s="151">
        <f t="shared" si="80"/>
        <v>16868</v>
      </c>
      <c r="J92" s="151">
        <f t="shared" si="80"/>
        <v>16935</v>
      </c>
      <c r="K92" s="151">
        <f t="shared" si="80"/>
        <v>17002</v>
      </c>
      <c r="L92" s="151">
        <f t="shared" si="80"/>
        <v>17069</v>
      </c>
      <c r="M92" s="151">
        <f t="shared" si="80"/>
        <v>17136</v>
      </c>
      <c r="N92" s="151">
        <f t="shared" si="80"/>
        <v>17203</v>
      </c>
      <c r="O92" s="151">
        <f t="shared" si="80"/>
        <v>17270</v>
      </c>
      <c r="P92" s="151">
        <f t="shared" si="80"/>
        <v>17303</v>
      </c>
      <c r="Q92" s="151">
        <f t="shared" si="80"/>
        <v>17303</v>
      </c>
      <c r="R92" s="151">
        <f t="shared" si="80"/>
        <v>17337</v>
      </c>
      <c r="V92" s="167"/>
      <c r="W92" s="168"/>
      <c r="X92" s="150"/>
      <c r="Y92" s="177"/>
      <c r="Z92" s="177"/>
      <c r="AA92" s="177"/>
      <c r="AB92" s="177"/>
      <c r="AC92" s="177"/>
      <c r="AD92" s="177"/>
      <c r="AE92" s="177"/>
      <c r="AF92" s="177"/>
      <c r="AG92" s="177"/>
      <c r="AH92" s="177"/>
      <c r="AI92" s="177"/>
      <c r="AJ92" s="177"/>
      <c r="AK92" s="177"/>
      <c r="AL92" s="177"/>
      <c r="AM92" s="177"/>
      <c r="AO92" s="186"/>
      <c r="AP92" s="186"/>
    </row>
    <row r="93" spans="1:99" s="151" customFormat="1" ht="14.1" customHeight="1">
      <c r="A93" s="163" t="s">
        <v>70</v>
      </c>
      <c r="B93" s="151">
        <v>9</v>
      </c>
      <c r="C93" s="151">
        <f t="shared" ref="C93:R93" si="81">ROUND((($U$7*X$16)+($V$7*X$37)+($U$7*AP$16)+($V$7*AP$37)+($W$7*(0-(AP$16+AP$37)))+($W$7*(9-(X$16+X$37))))*$AO$11,0)</f>
        <v>15030</v>
      </c>
      <c r="D93" s="151">
        <f t="shared" si="81"/>
        <v>15030</v>
      </c>
      <c r="E93" s="151">
        <f t="shared" si="81"/>
        <v>15030</v>
      </c>
      <c r="F93" s="151">
        <f t="shared" si="81"/>
        <v>15030</v>
      </c>
      <c r="G93" s="151">
        <f t="shared" si="81"/>
        <v>15064</v>
      </c>
      <c r="H93" s="151">
        <f t="shared" si="81"/>
        <v>15131</v>
      </c>
      <c r="I93" s="151">
        <f t="shared" si="81"/>
        <v>15198</v>
      </c>
      <c r="J93" s="151">
        <f t="shared" si="81"/>
        <v>15265</v>
      </c>
      <c r="K93" s="151">
        <f t="shared" si="81"/>
        <v>15332</v>
      </c>
      <c r="L93" s="151">
        <f t="shared" si="81"/>
        <v>15399</v>
      </c>
      <c r="M93" s="151">
        <f t="shared" si="81"/>
        <v>15466</v>
      </c>
      <c r="N93" s="151">
        <f t="shared" si="81"/>
        <v>15533</v>
      </c>
      <c r="O93" s="151">
        <f t="shared" si="81"/>
        <v>15600</v>
      </c>
      <c r="P93" s="151">
        <f t="shared" si="81"/>
        <v>15633</v>
      </c>
      <c r="Q93" s="151">
        <f t="shared" si="81"/>
        <v>15633</v>
      </c>
      <c r="R93" s="151">
        <f t="shared" si="81"/>
        <v>15633</v>
      </c>
      <c r="V93" s="178"/>
      <c r="W93" s="176"/>
      <c r="X93" s="181">
        <f t="shared" ref="X93:AM93" si="82">+C103</f>
        <v>44012</v>
      </c>
      <c r="Y93" s="177">
        <f t="shared" si="82"/>
        <v>44027</v>
      </c>
      <c r="Z93" s="177">
        <f t="shared" si="82"/>
        <v>44043</v>
      </c>
      <c r="AA93" s="177">
        <f t="shared" si="82"/>
        <v>44058</v>
      </c>
      <c r="AB93" s="177">
        <f t="shared" si="82"/>
        <v>44074</v>
      </c>
      <c r="AC93" s="177">
        <f t="shared" si="82"/>
        <v>44104</v>
      </c>
      <c r="AD93" s="177">
        <f t="shared" si="82"/>
        <v>44135</v>
      </c>
      <c r="AE93" s="177">
        <f t="shared" si="82"/>
        <v>44165</v>
      </c>
      <c r="AF93" s="177">
        <f t="shared" si="82"/>
        <v>44196</v>
      </c>
      <c r="AG93" s="177">
        <f t="shared" si="82"/>
        <v>44227</v>
      </c>
      <c r="AH93" s="177">
        <f t="shared" si="82"/>
        <v>44255</v>
      </c>
      <c r="AI93" s="177">
        <f t="shared" si="82"/>
        <v>44286</v>
      </c>
      <c r="AJ93" s="177">
        <f t="shared" si="82"/>
        <v>44316</v>
      </c>
      <c r="AK93" s="177">
        <f t="shared" si="82"/>
        <v>44331</v>
      </c>
      <c r="AL93" s="177">
        <f t="shared" si="82"/>
        <v>44347</v>
      </c>
      <c r="AM93" s="177">
        <f t="shared" si="82"/>
        <v>44362</v>
      </c>
      <c r="AN93" s="182"/>
      <c r="AP93" s="181">
        <f t="shared" ref="AP93:BE93" si="83">+X93</f>
        <v>44012</v>
      </c>
      <c r="AQ93" s="181">
        <f t="shared" si="83"/>
        <v>44027</v>
      </c>
      <c r="AR93" s="181">
        <f t="shared" si="83"/>
        <v>44043</v>
      </c>
      <c r="AS93" s="181">
        <f t="shared" si="83"/>
        <v>44058</v>
      </c>
      <c r="AT93" s="181">
        <f t="shared" si="83"/>
        <v>44074</v>
      </c>
      <c r="AU93" s="181">
        <f t="shared" si="83"/>
        <v>44104</v>
      </c>
      <c r="AV93" s="181">
        <f t="shared" si="83"/>
        <v>44135</v>
      </c>
      <c r="AW93" s="181">
        <f t="shared" si="83"/>
        <v>44165</v>
      </c>
      <c r="AX93" s="181">
        <f t="shared" si="83"/>
        <v>44196</v>
      </c>
      <c r="AY93" s="181">
        <f t="shared" si="83"/>
        <v>44227</v>
      </c>
      <c r="AZ93" s="181">
        <f t="shared" si="83"/>
        <v>44255</v>
      </c>
      <c r="BA93" s="181">
        <f t="shared" si="83"/>
        <v>44286</v>
      </c>
      <c r="BB93" s="181">
        <f t="shared" si="83"/>
        <v>44316</v>
      </c>
      <c r="BC93" s="181">
        <f t="shared" si="83"/>
        <v>44331</v>
      </c>
      <c r="BD93" s="181">
        <f t="shared" si="83"/>
        <v>44347</v>
      </c>
      <c r="BE93" s="181">
        <f t="shared" si="83"/>
        <v>44362</v>
      </c>
    </row>
    <row r="94" spans="1:99" s="151" customFormat="1" ht="14.1" customHeight="1">
      <c r="A94" s="163" t="s">
        <v>72</v>
      </c>
      <c r="B94" s="151">
        <v>3</v>
      </c>
      <c r="C94" s="151">
        <f t="shared" ref="C94:R94" si="84">ROUND((($U$7*X$17)+($V$7*X$38)+($U$7*AP$17)+($V$7*AP$38)+($W$7*(3-(AP$17+AP$38)))+($W$7*(0-(X$17+X$38))))*$AO$11,0)</f>
        <v>5010</v>
      </c>
      <c r="D94" s="151">
        <f t="shared" si="84"/>
        <v>5044</v>
      </c>
      <c r="E94" s="151">
        <f t="shared" si="84"/>
        <v>5077</v>
      </c>
      <c r="F94" s="151">
        <f t="shared" si="84"/>
        <v>5111</v>
      </c>
      <c r="G94" s="151">
        <f t="shared" si="84"/>
        <v>5111</v>
      </c>
      <c r="H94" s="151">
        <f t="shared" si="84"/>
        <v>5111</v>
      </c>
      <c r="I94" s="151">
        <f t="shared" si="84"/>
        <v>5111</v>
      </c>
      <c r="J94" s="151">
        <f t="shared" si="84"/>
        <v>5111</v>
      </c>
      <c r="K94" s="151">
        <f t="shared" si="84"/>
        <v>5111</v>
      </c>
      <c r="L94" s="151">
        <f t="shared" si="84"/>
        <v>5111</v>
      </c>
      <c r="M94" s="151">
        <f t="shared" si="84"/>
        <v>5111</v>
      </c>
      <c r="N94" s="151">
        <f t="shared" si="84"/>
        <v>5111</v>
      </c>
      <c r="O94" s="151">
        <f t="shared" si="84"/>
        <v>5111</v>
      </c>
      <c r="P94" s="151">
        <f t="shared" si="84"/>
        <v>5111</v>
      </c>
      <c r="Q94" s="151">
        <f t="shared" si="84"/>
        <v>5144</v>
      </c>
      <c r="R94" s="151">
        <f t="shared" si="84"/>
        <v>5178</v>
      </c>
      <c r="V94" s="151" t="s">
        <v>60</v>
      </c>
      <c r="W94" s="151" t="s">
        <v>61</v>
      </c>
      <c r="X94" s="151">
        <v>9</v>
      </c>
      <c r="Y94" s="151">
        <v>9</v>
      </c>
      <c r="Z94" s="151">
        <v>9</v>
      </c>
      <c r="AA94" s="151">
        <v>9</v>
      </c>
      <c r="AB94" s="151">
        <v>8.5</v>
      </c>
      <c r="AC94" s="151">
        <v>7.5</v>
      </c>
      <c r="AD94" s="151">
        <v>6.5</v>
      </c>
      <c r="AE94" s="151">
        <v>5.5</v>
      </c>
      <c r="AF94" s="151">
        <v>4.5</v>
      </c>
      <c r="AG94" s="151">
        <v>3.5</v>
      </c>
      <c r="AH94" s="151">
        <v>2.5</v>
      </c>
      <c r="AI94" s="151">
        <v>1.5</v>
      </c>
      <c r="AJ94" s="151">
        <v>0.5</v>
      </c>
      <c r="AK94" s="151">
        <v>0</v>
      </c>
      <c r="AL94" s="151">
        <v>0</v>
      </c>
      <c r="AM94" s="151">
        <v>0</v>
      </c>
      <c r="AN94" s="151" t="s">
        <v>60</v>
      </c>
      <c r="AO94" s="151" t="s">
        <v>62</v>
      </c>
      <c r="AP94" s="151">
        <v>0</v>
      </c>
      <c r="AQ94" s="151">
        <v>0</v>
      </c>
      <c r="AR94" s="151">
        <v>0</v>
      </c>
      <c r="AS94" s="151">
        <v>0</v>
      </c>
      <c r="AT94" s="151">
        <v>0</v>
      </c>
      <c r="AU94" s="151">
        <v>0</v>
      </c>
      <c r="AV94" s="151">
        <v>0</v>
      </c>
      <c r="AW94" s="151">
        <v>0</v>
      </c>
      <c r="AX94" s="151">
        <v>0</v>
      </c>
      <c r="AY94" s="151">
        <v>0</v>
      </c>
      <c r="AZ94" s="151">
        <v>0</v>
      </c>
      <c r="BA94" s="151">
        <v>0</v>
      </c>
      <c r="BB94" s="151">
        <v>0</v>
      </c>
      <c r="BC94" s="151">
        <v>0</v>
      </c>
      <c r="BD94" s="151">
        <v>0</v>
      </c>
      <c r="BE94" s="151">
        <v>0</v>
      </c>
    </row>
    <row r="95" spans="1:99" s="151" customFormat="1" ht="14.1" customHeight="1">
      <c r="A95" s="163" t="s">
        <v>75</v>
      </c>
      <c r="B95" s="151">
        <v>2</v>
      </c>
      <c r="C95" s="151">
        <f t="shared" ref="C95:R95" si="85">ROUND((($U$7*X$18)+($V$7*X$39)+($U$7*AP$18)+($V$7*AP$39)+($W$7*(2-(AP$18+AP$39)))+($W$7*(0-(X$18+X$39))))*$AO$11,0)</f>
        <v>3340</v>
      </c>
      <c r="D95" s="151">
        <f t="shared" si="85"/>
        <v>3340</v>
      </c>
      <c r="E95" s="151">
        <f t="shared" si="85"/>
        <v>3340</v>
      </c>
      <c r="F95" s="151">
        <f t="shared" si="85"/>
        <v>3374</v>
      </c>
      <c r="G95" s="151">
        <f t="shared" si="85"/>
        <v>3374</v>
      </c>
      <c r="H95" s="151">
        <f t="shared" si="85"/>
        <v>3374</v>
      </c>
      <c r="I95" s="151">
        <f t="shared" si="85"/>
        <v>3374</v>
      </c>
      <c r="J95" s="151">
        <f t="shared" si="85"/>
        <v>3374</v>
      </c>
      <c r="K95" s="151">
        <f t="shared" si="85"/>
        <v>3374</v>
      </c>
      <c r="L95" s="151">
        <f t="shared" si="85"/>
        <v>3374</v>
      </c>
      <c r="M95" s="151">
        <f t="shared" si="85"/>
        <v>3374</v>
      </c>
      <c r="N95" s="151">
        <f t="shared" si="85"/>
        <v>3374</v>
      </c>
      <c r="O95" s="151">
        <f t="shared" si="85"/>
        <v>3374</v>
      </c>
      <c r="P95" s="151">
        <f t="shared" si="85"/>
        <v>3374</v>
      </c>
      <c r="Q95" s="151">
        <f t="shared" si="85"/>
        <v>3407</v>
      </c>
      <c r="R95" s="151">
        <f t="shared" si="85"/>
        <v>3441</v>
      </c>
      <c r="V95" s="151" t="s">
        <v>65</v>
      </c>
      <c r="W95" s="151" t="s">
        <v>66</v>
      </c>
      <c r="X95" s="151">
        <v>9</v>
      </c>
      <c r="Y95" s="151">
        <v>9</v>
      </c>
      <c r="Z95" s="151">
        <v>9</v>
      </c>
      <c r="AA95" s="151">
        <v>9</v>
      </c>
      <c r="AB95" s="151">
        <v>8.5</v>
      </c>
      <c r="AC95" s="151">
        <v>7.5</v>
      </c>
      <c r="AD95" s="151">
        <v>6.5</v>
      </c>
      <c r="AE95" s="151">
        <v>5.5</v>
      </c>
      <c r="AF95" s="151">
        <v>4.5</v>
      </c>
      <c r="AG95" s="151">
        <v>3.5</v>
      </c>
      <c r="AH95" s="151">
        <v>2.5</v>
      </c>
      <c r="AI95" s="151">
        <v>1.5</v>
      </c>
      <c r="AJ95" s="151">
        <v>0.5</v>
      </c>
      <c r="AK95" s="151">
        <v>0</v>
      </c>
      <c r="AL95" s="151">
        <v>0</v>
      </c>
      <c r="AM95" s="151">
        <v>0</v>
      </c>
      <c r="AN95" s="151" t="s">
        <v>65</v>
      </c>
      <c r="AO95" s="151" t="s">
        <v>62</v>
      </c>
      <c r="AP95" s="151">
        <v>0</v>
      </c>
      <c r="AQ95" s="151">
        <v>0</v>
      </c>
      <c r="AR95" s="151">
        <v>0</v>
      </c>
      <c r="AS95" s="151">
        <v>0</v>
      </c>
      <c r="AT95" s="151">
        <v>0</v>
      </c>
      <c r="AU95" s="151">
        <v>0</v>
      </c>
      <c r="AV95" s="151">
        <v>0</v>
      </c>
      <c r="AW95" s="151">
        <v>0</v>
      </c>
      <c r="AX95" s="151">
        <v>0</v>
      </c>
      <c r="AY95" s="151">
        <v>0</v>
      </c>
      <c r="AZ95" s="151">
        <v>0</v>
      </c>
      <c r="BA95" s="151">
        <v>0</v>
      </c>
      <c r="BB95" s="151">
        <v>0</v>
      </c>
      <c r="BC95" s="151">
        <v>0</v>
      </c>
      <c r="BD95" s="151">
        <v>0</v>
      </c>
      <c r="BE95" s="151">
        <v>0</v>
      </c>
    </row>
    <row r="96" spans="1:99" s="151" customFormat="1" ht="14.1" customHeight="1">
      <c r="A96" s="163" t="s">
        <v>77</v>
      </c>
      <c r="B96" s="151">
        <v>1</v>
      </c>
      <c r="C96" s="151">
        <f t="shared" ref="C96:R96" si="86">ROUND((($U$7*X$19)+($V$7*X$40)+($U$7*AP$19)+($V$7*AP$40)+($W$7*(1-(AP$19+AP$40)))+($W$7*(0-(X$19+X$40))))*$AO$11,0)</f>
        <v>1670</v>
      </c>
      <c r="D96" s="151">
        <f t="shared" si="86"/>
        <v>1670</v>
      </c>
      <c r="E96" s="151">
        <f t="shared" si="86"/>
        <v>1670</v>
      </c>
      <c r="F96" s="151">
        <f t="shared" si="86"/>
        <v>1670</v>
      </c>
      <c r="G96" s="151">
        <f t="shared" si="86"/>
        <v>1670</v>
      </c>
      <c r="H96" s="151">
        <f t="shared" si="86"/>
        <v>1670</v>
      </c>
      <c r="I96" s="151">
        <f t="shared" si="86"/>
        <v>1670</v>
      </c>
      <c r="J96" s="151">
        <f t="shared" si="86"/>
        <v>1670</v>
      </c>
      <c r="K96" s="151">
        <f t="shared" si="86"/>
        <v>1670</v>
      </c>
      <c r="L96" s="151">
        <f t="shared" si="86"/>
        <v>1670</v>
      </c>
      <c r="M96" s="151">
        <f t="shared" si="86"/>
        <v>1670</v>
      </c>
      <c r="N96" s="151">
        <f t="shared" si="86"/>
        <v>1670</v>
      </c>
      <c r="O96" s="151">
        <f t="shared" si="86"/>
        <v>1670</v>
      </c>
      <c r="P96" s="151">
        <f t="shared" si="86"/>
        <v>1670</v>
      </c>
      <c r="Q96" s="151">
        <f t="shared" si="86"/>
        <v>1670</v>
      </c>
      <c r="R96" s="151">
        <f t="shared" si="86"/>
        <v>1704</v>
      </c>
      <c r="V96" s="151" t="s">
        <v>69</v>
      </c>
      <c r="W96" s="151" t="s">
        <v>66</v>
      </c>
      <c r="X96" s="151">
        <v>9</v>
      </c>
      <c r="Y96" s="151">
        <v>9</v>
      </c>
      <c r="Z96" s="151">
        <v>9</v>
      </c>
      <c r="AA96" s="151">
        <v>9</v>
      </c>
      <c r="AB96" s="151">
        <v>8.5</v>
      </c>
      <c r="AC96" s="151">
        <v>7.5</v>
      </c>
      <c r="AD96" s="151">
        <v>6.5</v>
      </c>
      <c r="AE96" s="151">
        <v>5.5</v>
      </c>
      <c r="AF96" s="151">
        <v>4.5</v>
      </c>
      <c r="AG96" s="151">
        <v>3.5</v>
      </c>
      <c r="AH96" s="151">
        <v>2.5</v>
      </c>
      <c r="AI96" s="151">
        <v>1.5</v>
      </c>
      <c r="AJ96" s="151">
        <v>0.5</v>
      </c>
      <c r="AK96" s="151">
        <v>0</v>
      </c>
      <c r="AL96" s="151">
        <v>0</v>
      </c>
      <c r="AM96" s="151">
        <v>0</v>
      </c>
      <c r="AN96" s="151" t="s">
        <v>69</v>
      </c>
      <c r="AO96" s="151" t="s">
        <v>62</v>
      </c>
      <c r="AP96" s="151">
        <v>0</v>
      </c>
      <c r="AQ96" s="151">
        <v>0</v>
      </c>
      <c r="AR96" s="151">
        <v>0</v>
      </c>
      <c r="AS96" s="151">
        <v>0</v>
      </c>
      <c r="AT96" s="151">
        <v>0</v>
      </c>
      <c r="AU96" s="151">
        <v>0</v>
      </c>
      <c r="AV96" s="151">
        <v>0</v>
      </c>
      <c r="AW96" s="151">
        <v>0</v>
      </c>
      <c r="AX96" s="151">
        <v>0</v>
      </c>
      <c r="AY96" s="151">
        <v>0</v>
      </c>
      <c r="AZ96" s="151">
        <v>0</v>
      </c>
      <c r="BA96" s="151">
        <v>0</v>
      </c>
      <c r="BB96" s="151">
        <v>0</v>
      </c>
      <c r="BC96" s="151">
        <v>0</v>
      </c>
      <c r="BD96" s="151">
        <v>0</v>
      </c>
      <c r="BE96" s="151">
        <v>0</v>
      </c>
    </row>
    <row r="97" spans="1:57" s="151" customFormat="1" ht="14.1" customHeight="1">
      <c r="A97" s="150"/>
      <c r="B97" s="150"/>
      <c r="C97" s="150"/>
      <c r="D97" s="150"/>
      <c r="E97" s="150"/>
      <c r="F97" s="150"/>
      <c r="G97" s="150"/>
      <c r="H97" s="150"/>
      <c r="I97" s="150"/>
      <c r="J97" s="150"/>
      <c r="K97" s="150"/>
      <c r="L97" s="150"/>
      <c r="M97" s="150"/>
      <c r="N97" s="150"/>
      <c r="O97" s="150"/>
      <c r="P97" s="150"/>
      <c r="Q97" s="150"/>
      <c r="R97" s="150"/>
      <c r="V97" s="151" t="s">
        <v>71</v>
      </c>
      <c r="W97" s="151" t="s">
        <v>66</v>
      </c>
      <c r="X97" s="151">
        <v>9</v>
      </c>
      <c r="Y97" s="151">
        <v>9</v>
      </c>
      <c r="Z97" s="151">
        <v>9</v>
      </c>
      <c r="AA97" s="151">
        <v>9</v>
      </c>
      <c r="AB97" s="151">
        <v>8.5</v>
      </c>
      <c r="AC97" s="151">
        <v>7.5</v>
      </c>
      <c r="AD97" s="151">
        <v>6.5</v>
      </c>
      <c r="AE97" s="151">
        <v>5.5</v>
      </c>
      <c r="AF97" s="151">
        <v>4.5</v>
      </c>
      <c r="AG97" s="151">
        <v>3.5</v>
      </c>
      <c r="AH97" s="151">
        <v>2.5</v>
      </c>
      <c r="AI97" s="151">
        <v>1.5</v>
      </c>
      <c r="AJ97" s="151">
        <v>0.5</v>
      </c>
      <c r="AK97" s="151">
        <v>0</v>
      </c>
      <c r="AL97" s="151">
        <v>0</v>
      </c>
      <c r="AM97" s="151">
        <v>0</v>
      </c>
      <c r="AN97" s="151" t="s">
        <v>71</v>
      </c>
      <c r="AO97" s="151" t="s">
        <v>62</v>
      </c>
      <c r="AP97" s="151">
        <v>0</v>
      </c>
      <c r="AQ97" s="151">
        <v>0</v>
      </c>
      <c r="AR97" s="151">
        <v>0</v>
      </c>
      <c r="AS97" s="151">
        <v>0</v>
      </c>
      <c r="AT97" s="151">
        <v>0</v>
      </c>
      <c r="AU97" s="151">
        <v>0</v>
      </c>
      <c r="AV97" s="151">
        <v>0</v>
      </c>
      <c r="AW97" s="151">
        <v>0</v>
      </c>
      <c r="AX97" s="151">
        <v>0</v>
      </c>
      <c r="AY97" s="151">
        <v>0</v>
      </c>
      <c r="AZ97" s="151">
        <v>0</v>
      </c>
      <c r="BA97" s="151">
        <v>0</v>
      </c>
      <c r="BB97" s="151">
        <v>0</v>
      </c>
      <c r="BC97" s="151">
        <v>0</v>
      </c>
      <c r="BD97" s="151">
        <v>0</v>
      </c>
      <c r="BE97" s="151">
        <v>0</v>
      </c>
    </row>
    <row r="98" spans="1:57" s="151" customFormat="1" ht="22.5" customHeight="1" thickBot="1">
      <c r="A98" s="156" t="s">
        <v>80</v>
      </c>
      <c r="B98" s="157"/>
      <c r="C98" s="157"/>
      <c r="D98" s="157"/>
      <c r="E98" s="157"/>
      <c r="F98" s="157"/>
      <c r="G98" s="157"/>
      <c r="H98" s="157"/>
      <c r="I98" s="157"/>
      <c r="J98" s="157"/>
      <c r="K98" s="157"/>
      <c r="L98" s="157"/>
      <c r="M98" s="157"/>
      <c r="N98" s="157"/>
      <c r="O98" s="157"/>
      <c r="P98" s="157"/>
      <c r="Q98" s="157"/>
      <c r="R98" s="157"/>
      <c r="V98" s="151" t="s">
        <v>73</v>
      </c>
      <c r="W98" s="151" t="s">
        <v>62</v>
      </c>
      <c r="X98" s="151">
        <v>0</v>
      </c>
      <c r="Y98" s="151">
        <v>0</v>
      </c>
      <c r="Z98" s="151">
        <v>0</v>
      </c>
      <c r="AA98" s="151">
        <v>0</v>
      </c>
      <c r="AB98" s="151">
        <v>0</v>
      </c>
      <c r="AC98" s="151">
        <v>0</v>
      </c>
      <c r="AD98" s="151">
        <v>0</v>
      </c>
      <c r="AE98" s="151">
        <v>0</v>
      </c>
      <c r="AF98" s="151">
        <v>0</v>
      </c>
      <c r="AG98" s="151">
        <v>0</v>
      </c>
      <c r="AH98" s="151">
        <v>0</v>
      </c>
      <c r="AI98" s="151">
        <v>0</v>
      </c>
      <c r="AJ98" s="151">
        <v>0</v>
      </c>
      <c r="AK98" s="151">
        <v>0</v>
      </c>
      <c r="AL98" s="151">
        <v>0</v>
      </c>
      <c r="AM98" s="151">
        <v>0</v>
      </c>
      <c r="AN98" s="151" t="s">
        <v>73</v>
      </c>
      <c r="AO98" s="151" t="s">
        <v>91</v>
      </c>
      <c r="AP98" s="151">
        <v>1</v>
      </c>
      <c r="AQ98" s="151">
        <v>1</v>
      </c>
      <c r="AR98" s="151">
        <v>1</v>
      </c>
      <c r="AS98" s="151">
        <v>0</v>
      </c>
      <c r="AT98" s="151">
        <v>0</v>
      </c>
      <c r="AU98" s="151">
        <v>0</v>
      </c>
      <c r="AV98" s="151">
        <v>0</v>
      </c>
      <c r="AW98" s="151">
        <v>0</v>
      </c>
      <c r="AX98" s="151">
        <v>0</v>
      </c>
      <c r="AY98" s="151">
        <v>0</v>
      </c>
      <c r="AZ98" s="151">
        <v>0</v>
      </c>
      <c r="BA98" s="151">
        <v>0</v>
      </c>
      <c r="BB98" s="151">
        <v>0</v>
      </c>
      <c r="BC98" s="151">
        <v>0</v>
      </c>
      <c r="BD98" s="151">
        <v>0</v>
      </c>
      <c r="BE98" s="151">
        <v>0</v>
      </c>
    </row>
    <row r="99" spans="1:57" s="151" customFormat="1" ht="14.1" customHeight="1">
      <c r="A99" s="183" t="s">
        <v>84</v>
      </c>
      <c r="B99" s="184">
        <v>0.04</v>
      </c>
      <c r="C99" s="151" t="s">
        <v>85</v>
      </c>
      <c r="E99" s="185"/>
      <c r="W99" s="186"/>
      <c r="X99" s="186"/>
      <c r="AO99" s="186"/>
      <c r="AP99" s="186"/>
    </row>
    <row r="100" spans="1:57" s="151" customFormat="1" ht="14.1" customHeight="1">
      <c r="A100" s="163"/>
      <c r="V100" s="167"/>
      <c r="W100" s="168"/>
      <c r="AN100" s="182"/>
      <c r="AP100" s="181">
        <f t="shared" ref="AP100:BE100" si="87">+X101</f>
        <v>44012</v>
      </c>
      <c r="AQ100" s="181">
        <f t="shared" si="87"/>
        <v>44027</v>
      </c>
      <c r="AR100" s="181">
        <f t="shared" si="87"/>
        <v>44043</v>
      </c>
      <c r="AS100" s="181">
        <f t="shared" si="87"/>
        <v>44058</v>
      </c>
      <c r="AT100" s="181">
        <f t="shared" si="87"/>
        <v>44074</v>
      </c>
      <c r="AU100" s="181">
        <f t="shared" si="87"/>
        <v>44104</v>
      </c>
      <c r="AV100" s="181">
        <f t="shared" si="87"/>
        <v>44135</v>
      </c>
      <c r="AW100" s="181">
        <f t="shared" si="87"/>
        <v>44165</v>
      </c>
      <c r="AX100" s="181">
        <f t="shared" si="87"/>
        <v>44196</v>
      </c>
      <c r="AY100" s="181">
        <f t="shared" si="87"/>
        <v>44227</v>
      </c>
      <c r="AZ100" s="181">
        <f t="shared" si="87"/>
        <v>44255</v>
      </c>
      <c r="BA100" s="181">
        <f t="shared" si="87"/>
        <v>44286</v>
      </c>
      <c r="BB100" s="181">
        <f t="shared" si="87"/>
        <v>44316</v>
      </c>
      <c r="BC100" s="181">
        <f t="shared" si="87"/>
        <v>44331</v>
      </c>
      <c r="BD100" s="181">
        <f t="shared" si="87"/>
        <v>44347</v>
      </c>
      <c r="BE100" s="181">
        <f t="shared" si="87"/>
        <v>44362</v>
      </c>
    </row>
    <row r="101" spans="1:57" s="151" customFormat="1" ht="14.1" customHeight="1">
      <c r="A101" s="111" t="s">
        <v>86</v>
      </c>
      <c r="V101" s="178"/>
      <c r="W101" s="176"/>
      <c r="X101" s="181">
        <f t="shared" ref="X101:AM101" si="88">+C113</f>
        <v>44012</v>
      </c>
      <c r="Y101" s="181">
        <f t="shared" si="88"/>
        <v>44027</v>
      </c>
      <c r="Z101" s="181">
        <f t="shared" si="88"/>
        <v>44043</v>
      </c>
      <c r="AA101" s="181">
        <f t="shared" si="88"/>
        <v>44058</v>
      </c>
      <c r="AB101" s="181">
        <f t="shared" si="88"/>
        <v>44074</v>
      </c>
      <c r="AC101" s="181">
        <f t="shared" si="88"/>
        <v>44104</v>
      </c>
      <c r="AD101" s="181">
        <f t="shared" si="88"/>
        <v>44135</v>
      </c>
      <c r="AE101" s="181">
        <f t="shared" si="88"/>
        <v>44165</v>
      </c>
      <c r="AF101" s="181">
        <f t="shared" si="88"/>
        <v>44196</v>
      </c>
      <c r="AG101" s="181">
        <f t="shared" si="88"/>
        <v>44227</v>
      </c>
      <c r="AH101" s="181">
        <f t="shared" si="88"/>
        <v>44255</v>
      </c>
      <c r="AI101" s="181">
        <f t="shared" si="88"/>
        <v>44286</v>
      </c>
      <c r="AJ101" s="181">
        <f t="shared" si="88"/>
        <v>44316</v>
      </c>
      <c r="AK101" s="181">
        <f t="shared" si="88"/>
        <v>44331</v>
      </c>
      <c r="AL101" s="181">
        <f t="shared" si="88"/>
        <v>44347</v>
      </c>
      <c r="AM101" s="181">
        <f t="shared" si="88"/>
        <v>44362</v>
      </c>
      <c r="AN101" s="182"/>
      <c r="AP101" s="182"/>
      <c r="AQ101" s="182"/>
      <c r="AR101" s="182"/>
      <c r="AS101" s="182"/>
      <c r="AT101" s="182"/>
      <c r="AU101" s="182"/>
      <c r="AV101" s="182"/>
      <c r="AW101" s="182"/>
      <c r="AX101" s="182"/>
      <c r="AY101" s="182"/>
      <c r="AZ101" s="182"/>
      <c r="BA101" s="182"/>
      <c r="BB101" s="182"/>
      <c r="BC101" s="182"/>
      <c r="BD101" s="182"/>
      <c r="BE101" s="182"/>
    </row>
    <row r="102" spans="1:57" s="151" customFormat="1" ht="14.1" customHeight="1">
      <c r="A102" s="163"/>
      <c r="B102" s="166" t="s">
        <v>54</v>
      </c>
      <c r="V102" s="151" t="s">
        <v>60</v>
      </c>
      <c r="W102" s="151" t="s">
        <v>67</v>
      </c>
      <c r="X102" s="151">
        <f t="shared" ref="X102:AI102" si="89">9-X94</f>
        <v>0</v>
      </c>
      <c r="Y102" s="151">
        <f t="shared" si="89"/>
        <v>0</v>
      </c>
      <c r="Z102" s="151">
        <f t="shared" si="89"/>
        <v>0</v>
      </c>
      <c r="AA102" s="151">
        <f t="shared" si="89"/>
        <v>0</v>
      </c>
      <c r="AB102" s="151">
        <f t="shared" si="89"/>
        <v>0.5</v>
      </c>
      <c r="AC102" s="151">
        <f t="shared" si="89"/>
        <v>1.5</v>
      </c>
      <c r="AD102" s="151">
        <f t="shared" si="89"/>
        <v>2.5</v>
      </c>
      <c r="AE102" s="151">
        <f t="shared" si="89"/>
        <v>3.5</v>
      </c>
      <c r="AF102" s="151">
        <f t="shared" si="89"/>
        <v>4.5</v>
      </c>
      <c r="AG102" s="151">
        <f t="shared" si="89"/>
        <v>5.5</v>
      </c>
      <c r="AH102" s="151">
        <f t="shared" si="89"/>
        <v>6.5</v>
      </c>
      <c r="AI102" s="151">
        <f t="shared" si="89"/>
        <v>7.5</v>
      </c>
      <c r="AJ102" s="151">
        <v>8.5</v>
      </c>
      <c r="AK102" s="151">
        <v>9</v>
      </c>
      <c r="AL102" s="151">
        <v>9</v>
      </c>
      <c r="AM102" s="151">
        <v>9</v>
      </c>
      <c r="AN102" s="151" t="s">
        <v>60</v>
      </c>
      <c r="AO102" s="151" t="s">
        <v>74</v>
      </c>
      <c r="AP102" s="151">
        <f t="shared" ref="AP102:BE102" si="90">1-AP94</f>
        <v>1</v>
      </c>
      <c r="AQ102" s="151">
        <f t="shared" si="90"/>
        <v>1</v>
      </c>
      <c r="AR102" s="151">
        <f t="shared" si="90"/>
        <v>1</v>
      </c>
      <c r="AS102" s="151">
        <f t="shared" si="90"/>
        <v>1</v>
      </c>
      <c r="AT102" s="151">
        <f t="shared" si="90"/>
        <v>1</v>
      </c>
      <c r="AU102" s="151">
        <f t="shared" si="90"/>
        <v>1</v>
      </c>
      <c r="AV102" s="151">
        <f t="shared" si="90"/>
        <v>1</v>
      </c>
      <c r="AW102" s="151">
        <f t="shared" si="90"/>
        <v>1</v>
      </c>
      <c r="AX102" s="151">
        <f t="shared" si="90"/>
        <v>1</v>
      </c>
      <c r="AY102" s="151">
        <f t="shared" si="90"/>
        <v>1</v>
      </c>
      <c r="AZ102" s="151">
        <f t="shared" si="90"/>
        <v>1</v>
      </c>
      <c r="BA102" s="151">
        <f t="shared" si="90"/>
        <v>1</v>
      </c>
      <c r="BB102" s="151">
        <f t="shared" si="90"/>
        <v>1</v>
      </c>
      <c r="BC102" s="151">
        <f t="shared" si="90"/>
        <v>1</v>
      </c>
      <c r="BD102" s="151">
        <f t="shared" si="90"/>
        <v>1</v>
      </c>
      <c r="BE102" s="151">
        <f t="shared" si="90"/>
        <v>1</v>
      </c>
    </row>
    <row r="103" spans="1:57" s="151" customFormat="1" ht="14.1" customHeight="1">
      <c r="A103" s="172"/>
      <c r="B103" s="173" t="s">
        <v>58</v>
      </c>
      <c r="C103" s="174">
        <f>C12</f>
        <v>44012</v>
      </c>
      <c r="D103" s="174">
        <f t="shared" ref="D103:R103" si="91">D12</f>
        <v>44027</v>
      </c>
      <c r="E103" s="174">
        <f t="shared" si="91"/>
        <v>44043</v>
      </c>
      <c r="F103" s="174">
        <f t="shared" si="91"/>
        <v>44058</v>
      </c>
      <c r="G103" s="174">
        <f t="shared" si="91"/>
        <v>44074</v>
      </c>
      <c r="H103" s="174">
        <f t="shared" si="91"/>
        <v>44104</v>
      </c>
      <c r="I103" s="174">
        <f t="shared" si="91"/>
        <v>44135</v>
      </c>
      <c r="J103" s="174">
        <f t="shared" si="91"/>
        <v>44165</v>
      </c>
      <c r="K103" s="174">
        <f t="shared" si="91"/>
        <v>44196</v>
      </c>
      <c r="L103" s="174">
        <f t="shared" si="91"/>
        <v>44227</v>
      </c>
      <c r="M103" s="174">
        <f t="shared" si="91"/>
        <v>44255</v>
      </c>
      <c r="N103" s="174">
        <f t="shared" si="91"/>
        <v>44286</v>
      </c>
      <c r="O103" s="174">
        <f t="shared" si="91"/>
        <v>44316</v>
      </c>
      <c r="P103" s="174">
        <f t="shared" si="91"/>
        <v>44331</v>
      </c>
      <c r="Q103" s="174">
        <f t="shared" si="91"/>
        <v>44347</v>
      </c>
      <c r="R103" s="174">
        <f t="shared" si="91"/>
        <v>44362</v>
      </c>
      <c r="V103" s="151" t="s">
        <v>65</v>
      </c>
      <c r="W103" s="151" t="s">
        <v>67</v>
      </c>
      <c r="X103" s="151">
        <f t="shared" ref="X103:AI103" si="92">9-X95</f>
        <v>0</v>
      </c>
      <c r="Y103" s="151">
        <f t="shared" si="92"/>
        <v>0</v>
      </c>
      <c r="Z103" s="151">
        <f t="shared" si="92"/>
        <v>0</v>
      </c>
      <c r="AA103" s="151">
        <f t="shared" si="92"/>
        <v>0</v>
      </c>
      <c r="AB103" s="151">
        <f t="shared" si="92"/>
        <v>0.5</v>
      </c>
      <c r="AC103" s="151">
        <f t="shared" si="92"/>
        <v>1.5</v>
      </c>
      <c r="AD103" s="151">
        <f t="shared" si="92"/>
        <v>2.5</v>
      </c>
      <c r="AE103" s="151">
        <f t="shared" si="92"/>
        <v>3.5</v>
      </c>
      <c r="AF103" s="151">
        <f t="shared" si="92"/>
        <v>4.5</v>
      </c>
      <c r="AG103" s="151">
        <f t="shared" si="92"/>
        <v>5.5</v>
      </c>
      <c r="AH103" s="151">
        <f t="shared" si="92"/>
        <v>6.5</v>
      </c>
      <c r="AI103" s="151">
        <f t="shared" si="92"/>
        <v>7.5</v>
      </c>
      <c r="AJ103" s="151">
        <v>8.5</v>
      </c>
      <c r="AK103" s="151">
        <v>9</v>
      </c>
      <c r="AL103" s="151">
        <v>9</v>
      </c>
      <c r="AM103" s="151">
        <v>9</v>
      </c>
      <c r="AN103" s="151" t="s">
        <v>65</v>
      </c>
      <c r="AO103" s="151" t="s">
        <v>74</v>
      </c>
      <c r="AP103" s="151">
        <f t="shared" ref="AP103:BE103" si="93">1-AP95</f>
        <v>1</v>
      </c>
      <c r="AQ103" s="151">
        <f t="shared" si="93"/>
        <v>1</v>
      </c>
      <c r="AR103" s="151">
        <f t="shared" si="93"/>
        <v>1</v>
      </c>
      <c r="AS103" s="151">
        <f t="shared" si="93"/>
        <v>1</v>
      </c>
      <c r="AT103" s="151">
        <f t="shared" si="93"/>
        <v>1</v>
      </c>
      <c r="AU103" s="151">
        <f t="shared" si="93"/>
        <v>1</v>
      </c>
      <c r="AV103" s="151">
        <f t="shared" si="93"/>
        <v>1</v>
      </c>
      <c r="AW103" s="151">
        <f t="shared" si="93"/>
        <v>1</v>
      </c>
      <c r="AX103" s="151">
        <f t="shared" si="93"/>
        <v>1</v>
      </c>
      <c r="AY103" s="151">
        <f t="shared" si="93"/>
        <v>1</v>
      </c>
      <c r="AZ103" s="151">
        <f t="shared" si="93"/>
        <v>1</v>
      </c>
      <c r="BA103" s="151">
        <f t="shared" si="93"/>
        <v>1</v>
      </c>
      <c r="BB103" s="151">
        <f t="shared" si="93"/>
        <v>1</v>
      </c>
      <c r="BC103" s="151">
        <f t="shared" si="93"/>
        <v>1</v>
      </c>
      <c r="BD103" s="151">
        <f t="shared" si="93"/>
        <v>1</v>
      </c>
      <c r="BE103" s="151">
        <f t="shared" si="93"/>
        <v>1</v>
      </c>
    </row>
    <row r="104" spans="1:57" s="151" customFormat="1" ht="14.1" customHeight="1">
      <c r="A104" s="163"/>
      <c r="V104" s="151" t="s">
        <v>69</v>
      </c>
      <c r="W104" s="151" t="s">
        <v>67</v>
      </c>
      <c r="X104" s="151">
        <f t="shared" ref="X104:AI104" si="94">9-X96</f>
        <v>0</v>
      </c>
      <c r="Y104" s="151">
        <f t="shared" si="94"/>
        <v>0</v>
      </c>
      <c r="Z104" s="151">
        <f t="shared" si="94"/>
        <v>0</v>
      </c>
      <c r="AA104" s="151">
        <f t="shared" si="94"/>
        <v>0</v>
      </c>
      <c r="AB104" s="151">
        <f t="shared" si="94"/>
        <v>0.5</v>
      </c>
      <c r="AC104" s="151">
        <f t="shared" si="94"/>
        <v>1.5</v>
      </c>
      <c r="AD104" s="151">
        <f t="shared" si="94"/>
        <v>2.5</v>
      </c>
      <c r="AE104" s="151">
        <f t="shared" si="94"/>
        <v>3.5</v>
      </c>
      <c r="AF104" s="151">
        <f t="shared" si="94"/>
        <v>4.5</v>
      </c>
      <c r="AG104" s="151">
        <f t="shared" si="94"/>
        <v>5.5</v>
      </c>
      <c r="AH104" s="151">
        <f t="shared" si="94"/>
        <v>6.5</v>
      </c>
      <c r="AI104" s="151">
        <f t="shared" si="94"/>
        <v>7.5</v>
      </c>
      <c r="AJ104" s="151">
        <v>8.5</v>
      </c>
      <c r="AK104" s="151">
        <v>9</v>
      </c>
      <c r="AL104" s="151">
        <v>9</v>
      </c>
      <c r="AM104" s="151">
        <v>9</v>
      </c>
      <c r="AN104" s="151" t="s">
        <v>69</v>
      </c>
      <c r="AO104" s="151" t="s">
        <v>74</v>
      </c>
      <c r="AP104" s="151">
        <v>0</v>
      </c>
      <c r="AQ104" s="151">
        <v>0</v>
      </c>
      <c r="AR104" s="151">
        <v>0</v>
      </c>
      <c r="AS104" s="151">
        <v>0</v>
      </c>
      <c r="AT104" s="151">
        <v>0</v>
      </c>
      <c r="AU104" s="151">
        <v>0</v>
      </c>
      <c r="AV104" s="151">
        <v>0</v>
      </c>
      <c r="AW104" s="151">
        <v>0</v>
      </c>
      <c r="AX104" s="151">
        <v>0</v>
      </c>
      <c r="AY104" s="151">
        <v>0</v>
      </c>
      <c r="AZ104" s="151">
        <v>0</v>
      </c>
      <c r="BA104" s="151">
        <v>0</v>
      </c>
      <c r="BB104" s="151">
        <v>0</v>
      </c>
      <c r="BC104" s="151">
        <v>0</v>
      </c>
      <c r="BD104" s="151">
        <v>0</v>
      </c>
      <c r="BE104" s="151">
        <v>0</v>
      </c>
    </row>
    <row r="105" spans="1:57" s="151" customFormat="1" ht="14.1" customHeight="1">
      <c r="A105" s="163" t="s">
        <v>87</v>
      </c>
      <c r="B105" s="151">
        <v>12</v>
      </c>
      <c r="C105" s="151">
        <f>ROUND(((X88*(X94/9))+(Y88*(X102/9))+(Z88*(X110/9))+(X89*AP94)+(X89*AP102)*1),0)</f>
        <v>14097</v>
      </c>
      <c r="D105" s="151">
        <f>ROUND(((X88*(Y94/9))+(Y88*(Y102/9))+(Z88*(Y110/9))+(X89*AQ94)+(X89*AQ102)*1),0)</f>
        <v>14097</v>
      </c>
      <c r="E105" s="151">
        <f>ROUND(((X88*(Z94/9))+(Y88*(Z102/9))+(Z88*(Z110/9))+(X89*AR94)+(X89*AR102)*1),0)</f>
        <v>14097</v>
      </c>
      <c r="F105" s="151">
        <f>ROUND(((X88*(AA94/9))+(Y88*(AA102/9))+(Z88*(AA110/9))+(X89*AS94)+(Y89*AS102)*1),0)</f>
        <v>14169</v>
      </c>
      <c r="G105" s="151">
        <f>ROUND(((X88*(AB94/9))+(Y88*(AB102/9))+(Z88*(AB110/9))+(X89*AT94)+(Y89*AT102)*1),0)</f>
        <v>14196</v>
      </c>
      <c r="H105" s="151">
        <f>ROUND(((X88*(AC94/9))+(Y88*(AC102/9))+(Z88*(AC110/9))+(X89*AU94)+(Y89*AU102)*1),0)</f>
        <v>14251</v>
      </c>
      <c r="I105" s="151">
        <f>ROUND(((X88*(AD94/9))+(Y88*(AD102/9))+(Z88*(AD110/9))+(X89*AV94)+(Y89*AV102)*1),0)</f>
        <v>14305</v>
      </c>
      <c r="J105" s="151">
        <f>ROUND(((X88*(AE94/9))+(Y88*(AE102/9))+(Z88*(AE110/9))+(X89*AW94)+(Y89*AW102)*1),0)</f>
        <v>14360</v>
      </c>
      <c r="K105" s="151">
        <f>ROUND(((X88*(AF94/9))+(Y88*(AF102/9))+(Z88*(AF110/9))+(X89*AX94)+(Y89*AX102)*1),0)</f>
        <v>14415</v>
      </c>
      <c r="L105" s="151">
        <f>ROUND(((X88*(AG94/9))+(Y88*(AG102/9))+(Z88*(AG110/9))+(X89*AY94)+(Y89*AY102)*1),0)</f>
        <v>14469</v>
      </c>
      <c r="M105" s="151">
        <f>ROUND(((X88*(AH94/9))+(Y88*(AH102/9))+(Z88*(AH110/9))+(X89*AZ94)+(Y89*AZ102)*1),0)</f>
        <v>14524</v>
      </c>
      <c r="N105" s="151">
        <f>ROUND(((X88*(AI94/9))+(Y88*(AI102/9))+(Z88*(AI110/9))+(X89*BA94)+(Y89*BA102)*1),0)</f>
        <v>14579</v>
      </c>
      <c r="O105" s="151">
        <f>ROUND(((X88*(AJ94/9))+(Y88*(AJ102/9))+(Z88*(AJ110/9))+(X89*BB94)+(Y89*BB102)*1),0)</f>
        <v>14633</v>
      </c>
      <c r="P105" s="151">
        <f>ROUND(((X88*(AK94/9))+(Y88*(AK102/9))+(Z88*(AK110/9))+(X89*BC94)+(Y89*BC102)*1),0)</f>
        <v>14661</v>
      </c>
      <c r="Q105" s="151">
        <f>ROUND(((X88*(AL94/9))+(Y88*(AL102/9))+(Z88*(AL110/9))+(X89*BD94)+(Y89*BD102)*1),0)</f>
        <v>14661</v>
      </c>
      <c r="R105" s="151">
        <f>ROUND(((X88*(AM94/9))+(Y88*(AM102/9))+(Z88*(AM110/9))+(X89*BE94)+(Y89*BE102)*1),0)</f>
        <v>14661</v>
      </c>
      <c r="V105" s="151" t="s">
        <v>71</v>
      </c>
      <c r="W105" s="151" t="s">
        <v>93</v>
      </c>
      <c r="X105" s="151">
        <f t="shared" ref="X105:AI105" si="95">9-X97</f>
        <v>0</v>
      </c>
      <c r="Y105" s="151">
        <f t="shared" si="95"/>
        <v>0</v>
      </c>
      <c r="Z105" s="151">
        <f t="shared" si="95"/>
        <v>0</v>
      </c>
      <c r="AA105" s="151">
        <f t="shared" si="95"/>
        <v>0</v>
      </c>
      <c r="AB105" s="151">
        <f t="shared" si="95"/>
        <v>0.5</v>
      </c>
      <c r="AC105" s="151">
        <f t="shared" si="95"/>
        <v>1.5</v>
      </c>
      <c r="AD105" s="151">
        <f t="shared" si="95"/>
        <v>2.5</v>
      </c>
      <c r="AE105" s="151">
        <f t="shared" si="95"/>
        <v>3.5</v>
      </c>
      <c r="AF105" s="151">
        <f t="shared" si="95"/>
        <v>4.5</v>
      </c>
      <c r="AG105" s="151">
        <f t="shared" si="95"/>
        <v>5.5</v>
      </c>
      <c r="AH105" s="151">
        <f t="shared" si="95"/>
        <v>6.5</v>
      </c>
      <c r="AI105" s="151">
        <f t="shared" si="95"/>
        <v>7.5</v>
      </c>
      <c r="AJ105" s="151">
        <v>8.5</v>
      </c>
      <c r="AK105" s="151">
        <v>9</v>
      </c>
      <c r="AL105" s="151">
        <v>9</v>
      </c>
      <c r="AM105" s="151">
        <v>9</v>
      </c>
      <c r="AN105" s="151" t="s">
        <v>71</v>
      </c>
      <c r="AO105" s="151" t="s">
        <v>74</v>
      </c>
      <c r="AP105" s="151">
        <v>0</v>
      </c>
      <c r="AQ105" s="151">
        <v>0</v>
      </c>
      <c r="AR105" s="151">
        <v>0</v>
      </c>
      <c r="AS105" s="151">
        <v>0</v>
      </c>
      <c r="AT105" s="151">
        <v>0</v>
      </c>
      <c r="AU105" s="151">
        <v>0</v>
      </c>
      <c r="AV105" s="151">
        <v>0</v>
      </c>
      <c r="AW105" s="151">
        <v>0</v>
      </c>
      <c r="AX105" s="151">
        <v>0</v>
      </c>
      <c r="AY105" s="151">
        <v>0</v>
      </c>
      <c r="AZ105" s="151">
        <v>0</v>
      </c>
      <c r="BA105" s="151">
        <v>0</v>
      </c>
      <c r="BB105" s="151">
        <v>0</v>
      </c>
      <c r="BC105" s="151">
        <v>0</v>
      </c>
      <c r="BD105" s="151">
        <v>0</v>
      </c>
      <c r="BE105" s="151">
        <v>0</v>
      </c>
    </row>
    <row r="106" spans="1:57" s="151" customFormat="1" ht="14.1" customHeight="1">
      <c r="A106" s="163" t="s">
        <v>87</v>
      </c>
      <c r="B106" s="151">
        <v>11</v>
      </c>
      <c r="C106" s="151">
        <f>ROUND(((X88*(X95/9))+(Y88*(X103/9))+(Z88*(X111/9))+(X89*AP95)+(X89*AP103)*1),0)</f>
        <v>14097</v>
      </c>
      <c r="D106" s="151">
        <f>ROUND(((X88*(Y95/9))+(Y88*(Y103/9))+(Z88*(Y111/9))+(X89*AQ95)+(X89*AQ103)*1),0)</f>
        <v>14097</v>
      </c>
      <c r="E106" s="151">
        <f>ROUND(((X88*(Z95/9))+(Y88*(Z103/9))+(Z88*(Z111/9))+(X89*AR95)+(X89*AR103)*1),0)</f>
        <v>14097</v>
      </c>
      <c r="F106" s="151">
        <f>ROUND(((X88*(AA95/9))+(Y88*(AA103/9))+(Z88*(AA111/9))+(X89*AS95)+(Y89*AS103)*1),0)</f>
        <v>14169</v>
      </c>
      <c r="G106" s="151">
        <f>ROUND(((X88*(AB95/9))+(Y88*(AB103/9))+(Z88*(AB111/9))+(X89*AT95)+(Y89*AT103)*1),0)</f>
        <v>14196</v>
      </c>
      <c r="H106" s="151">
        <f>ROUND(((X88*(AC95/9))+(Y88*(AC103/9))+(Z88*(AC111/9))+(X89*AU95)+(Y89*AU103)*1),0)</f>
        <v>14251</v>
      </c>
      <c r="I106" s="151">
        <f>ROUND(((X88*(AD95/9))+(Y88*(AD103/9))+(Z88*(AD111/9))+(X89*AV95)+(Y89*AV103)*1),0)</f>
        <v>14305</v>
      </c>
      <c r="J106" s="151">
        <f>ROUND(((X88*(AE95/9))+(Y88*(AE103/9))+(Z88*(AE111/9))+(X89*AW95)+(Y89*AW103)*1),0)</f>
        <v>14360</v>
      </c>
      <c r="K106" s="151">
        <f>ROUND(((X88*(AF95/9))+(Y88*(AF103/9))+(Z88*(AF111/9))+(X89*AX95)+(Y89*AX103)*1),0)</f>
        <v>14415</v>
      </c>
      <c r="L106" s="151">
        <f>ROUND(((X88*(AG95/9))+(Y88*(AG103/9))+(Z88*(AG111/9))+(X89*AY95)+(Y89*AY103)*1),0)</f>
        <v>14469</v>
      </c>
      <c r="M106" s="151">
        <f>ROUND(((X88*(AH95/9))+(Y88*(AH103/9))+(Z88*(AH111/9))+(X89*AZ95)+(Y89*AZ103)*1),0)</f>
        <v>14524</v>
      </c>
      <c r="N106" s="151">
        <f>ROUND(((X88*(AI95/9))+(Y88*(AI103/9))+(Z88*(AI111/9))+(X89*BA95)+(Y89*BA103)*1),0)</f>
        <v>14579</v>
      </c>
      <c r="O106" s="151">
        <f>ROUND(((X88*(AJ95/9))+(Y88*(AJ103/9))+(Z88*(AJ111/9))+(X89*BB95)+(Y89*BB103)*1),0)</f>
        <v>14633</v>
      </c>
      <c r="P106" s="151">
        <f>ROUND(((X88*(AK95/9))+(Y88*(AK103/9))+(Z88*(AK111/9))+(X89*BC95)+(Y89*BC103)*1),0)</f>
        <v>14661</v>
      </c>
      <c r="Q106" s="151">
        <f>ROUND(((X88*(AL95/9))+(Y88*(AL103/9))+(Z88*(AL111/9))+(X89*BD95)+(Y89*BD103)*1),0)</f>
        <v>14661</v>
      </c>
      <c r="R106" s="151">
        <f>ROUND(((X88*(AM95/9))+(Y88*(AM103/9))+(Z88*(AM111/9))+(X89*BE95)+(Y89*BE103)*1),0)</f>
        <v>14661</v>
      </c>
      <c r="V106" s="151" t="s">
        <v>73</v>
      </c>
      <c r="W106" s="151" t="s">
        <v>74</v>
      </c>
      <c r="X106" s="151">
        <v>0</v>
      </c>
      <c r="Y106" s="151">
        <v>0</v>
      </c>
      <c r="Z106" s="151">
        <v>0</v>
      </c>
      <c r="AA106" s="151">
        <v>0</v>
      </c>
      <c r="AB106" s="151">
        <v>0</v>
      </c>
      <c r="AC106" s="151">
        <v>0</v>
      </c>
      <c r="AD106" s="151">
        <v>0</v>
      </c>
      <c r="AE106" s="151">
        <v>0</v>
      </c>
      <c r="AF106" s="151">
        <v>0</v>
      </c>
      <c r="AG106" s="151">
        <v>0</v>
      </c>
      <c r="AH106" s="151">
        <v>0</v>
      </c>
      <c r="AI106" s="151">
        <v>0</v>
      </c>
      <c r="AJ106" s="151">
        <v>0</v>
      </c>
      <c r="AK106" s="151">
        <v>0</v>
      </c>
      <c r="AL106" s="151">
        <v>0</v>
      </c>
      <c r="AM106" s="151">
        <v>0</v>
      </c>
      <c r="AN106" s="151" t="s">
        <v>94</v>
      </c>
      <c r="AO106" s="151" t="s">
        <v>74</v>
      </c>
      <c r="AP106" s="151">
        <v>0</v>
      </c>
      <c r="AQ106" s="151">
        <v>0</v>
      </c>
      <c r="AR106" s="151">
        <v>0</v>
      </c>
      <c r="AS106" s="151">
        <v>1</v>
      </c>
      <c r="AT106" s="151">
        <v>1</v>
      </c>
      <c r="AU106" s="151">
        <v>1</v>
      </c>
      <c r="AV106" s="151">
        <v>1</v>
      </c>
      <c r="AW106" s="151">
        <v>1</v>
      </c>
      <c r="AX106" s="151">
        <v>1</v>
      </c>
      <c r="AY106" s="151">
        <v>1</v>
      </c>
      <c r="AZ106" s="151">
        <v>1</v>
      </c>
      <c r="BA106" s="151">
        <v>1</v>
      </c>
      <c r="BB106" s="151">
        <v>1</v>
      </c>
      <c r="BC106" s="151">
        <v>1</v>
      </c>
      <c r="BD106" s="151">
        <v>1</v>
      </c>
      <c r="BE106" s="151">
        <v>1</v>
      </c>
    </row>
    <row r="107" spans="1:57" s="151" customFormat="1" ht="14.1" customHeight="1">
      <c r="A107" s="163" t="s">
        <v>88</v>
      </c>
      <c r="B107" s="151">
        <v>10</v>
      </c>
      <c r="C107" s="151">
        <f>ROUND(((X88*(X96/9))+(Y88*(X104/9))+(Z88*(X112/9))+(X89*AP96)+(Y89*AP104)*1),0)</f>
        <v>12297</v>
      </c>
      <c r="D107" s="151">
        <f>ROUND(((X88*(Y96/9))+(Y88*(Y104/9))+(Z88*(Y112/9))+(X89*AQ96)+(Y89*AQ104)*1),0)</f>
        <v>12297</v>
      </c>
      <c r="E107" s="151">
        <f>ROUND(((X88*(Z96/9))+(Y88*(Z104/9))+(Z88*(Z112/9))+(X89*AR96)+(Y89*AR104)*1),0)</f>
        <v>12297</v>
      </c>
      <c r="F107" s="151">
        <f>ROUND(((X88*(AA96/9))+(Y88*(AA104/9))+(Z88*(AA112/9))+(X89*AS96)+(Y89*AS104)*1),0)</f>
        <v>12297</v>
      </c>
      <c r="G107" s="151">
        <f>ROUND(((X88*(AB96/9))+(Y88*(AB104/9))+(Z88*(AB112/9))+(X89*AT96)+(Y89*AT104)*1),0)</f>
        <v>12324</v>
      </c>
      <c r="H107" s="151">
        <f>ROUND(((X88*(AC96/9))+(Y88*(AC104/9))+(Z88*(AC112/9))+(X89*AU96)+(Y89*AU104)*1),0)</f>
        <v>12379</v>
      </c>
      <c r="I107" s="151">
        <f>ROUND(((X88*(AD96/9))+(Y88*(AD104/9))+(Z88*(AD112/9))+(X89*AV96)+(Y89*AV104)*1),0)</f>
        <v>12434</v>
      </c>
      <c r="J107" s="151">
        <f>ROUND(((X88*(AE96/9))+(Y88*(AE104/9))+(Z88*(AE112/9))+(X89*AW96)+(Y89*AW104)*1),0)</f>
        <v>12488</v>
      </c>
      <c r="K107" s="151">
        <f>ROUND(((X88*(AF96/9))+(Y88*(AF104/9))+(Z88*(AF112/9))+(X89*AX96)+(Y89*AX104)*1),0)</f>
        <v>12543</v>
      </c>
      <c r="L107" s="151">
        <f>ROUND(((X88*(AG96/9))+(Y88*(AG104/9))+(Z88*(AG112/9))+(X89*AY96)+(Y89*AY104)*1),0)</f>
        <v>12598</v>
      </c>
      <c r="M107" s="151">
        <f>ROUND(((X88*(AH96/9))+(Y88*(AH104/9))+(Z88*(AH112/9))+(X89*AZ96)+(Y89*AZ104)*1),0)</f>
        <v>12652</v>
      </c>
      <c r="N107" s="151">
        <f>ROUND(((X88*(AI96/9))+(Y88*(AI104/9))+(Z88*(AI112/9))+(X89*BA96)+(Y89*BA104)*1),0)</f>
        <v>12707</v>
      </c>
      <c r="O107" s="151">
        <f>ROUND(((X88*(AJ96/9))+(Y88*(AJ104/9))+(Z88*(AJ112/9))+(X89*BB96)+(Y89*BB104)*1),0)</f>
        <v>12762</v>
      </c>
      <c r="P107" s="151">
        <f>ROUND(((X88*(AK96/9))+(Y88*(AK104/9))+(Z88*(AK112/9))+(X89*BC96)+(Y89*BC104)*1),0)</f>
        <v>12789</v>
      </c>
      <c r="Q107" s="151">
        <f>ROUND(((X88*(AL96/9))+(Y88*(AL104/9))+(Z88*(AL112/9))+(X89*BD96)+(Y89*BD104)*1),0)</f>
        <v>12789</v>
      </c>
      <c r="R107" s="151">
        <f>ROUND(((X88*(AM96/9))+(Y88*(AM104/9))+(Z88*(AM112/9))+(X89*BE96)+(Y89*BE104)*1),0)</f>
        <v>12789</v>
      </c>
      <c r="W107" s="186" t="s">
        <v>95</v>
      </c>
      <c r="X107" s="186"/>
    </row>
    <row r="108" spans="1:57" s="151" customFormat="1" ht="14.1" customHeight="1">
      <c r="A108" s="163" t="s">
        <v>88</v>
      </c>
      <c r="B108" s="151">
        <v>9</v>
      </c>
      <c r="C108" s="151">
        <f>ROUND(((X88*(X97/9))+(Y88*(X105/9))+(Z88*(X113/9))+(X89*AP97)+(Y89*AP105)*1),0)</f>
        <v>12297</v>
      </c>
      <c r="D108" s="151">
        <f>ROUND(((X88*(Y97/9))+(Y88*(Y105/9))+(Z88*(Y113/9))+(X89*AQ97)+(Y89*AQ105)*1),0)</f>
        <v>12297</v>
      </c>
      <c r="E108" s="151">
        <f>ROUND(((X88*(Z97/9))+(Y88*(Z105/9))+(Z88*(Z113/9))+(X89*AR97)+(Y89*AR105)*1),0)</f>
        <v>12297</v>
      </c>
      <c r="F108" s="151">
        <f>ROUND(((X88*(AA97/9))+(Y88*(AA105/9))+(Z88*(AA113/9))+(X89*AS97)+(Y89*AS105)*1),0)</f>
        <v>12297</v>
      </c>
      <c r="G108" s="151">
        <f>ROUND(((X88*(AB97/9))+(Y88*(AB105/9))+(Z88*(AB113/9))+(X89*AT97)+(Y89*AT105)*1),0)</f>
        <v>12324</v>
      </c>
      <c r="H108" s="151">
        <f>ROUND(((X88*(AC97/9))+(Y88*(AC105/9))+(Z88*(AC113/9))+(X89*AU97)+(Y89*AU105)*1),0)</f>
        <v>12379</v>
      </c>
      <c r="I108" s="151">
        <f>ROUND(((X88*(AD97/9))+(Y88*(AD105/9))+(Z88*(AD113/9))+(X89*AV97)+(Y89*AV105)*1),0)</f>
        <v>12434</v>
      </c>
      <c r="J108" s="151">
        <f>ROUND(((X88*(AE97/9))+(Y88*(AE105/9))+(Z88*(AE113/9))+(X89*AW97)+(Y89*AW105)*1),0)</f>
        <v>12488</v>
      </c>
      <c r="K108" s="151">
        <f>ROUND(((X88*(AF97/9))+(Y88*(AF105/9))+(Z88*(AF113/9))+(X89*AX97)+(Y89*AX105)*1),0)</f>
        <v>12543</v>
      </c>
      <c r="L108" s="151">
        <f>ROUND(((X88*(AG97/9))+(Y88*(AG105/9))+(Z88*(AG113/9))+(X89*AY97)+(Y89*AY105)*1),0)</f>
        <v>12598</v>
      </c>
      <c r="M108" s="151">
        <f>ROUND(((X88*(AH97/9))+(Y88*(AH105/9))+(Z88*(AH113/9))+(X89*AZ97)+(Y89*AZ105)*1),0)</f>
        <v>12652</v>
      </c>
      <c r="N108" s="151">
        <f>ROUND(((X88*(AI97/9))+(Y88*(AI105/9))+(Z88*(AI113/9))+(X89*BA97)+(Y89*BA105)*1),0)</f>
        <v>12707</v>
      </c>
      <c r="O108" s="151">
        <f>ROUND(((X88*(AJ97/9))+(Y88*(AJ105/9))+(Z88*(AJ113/9))+(X89*BB97)+(Y89*BB105)*1),0)</f>
        <v>12762</v>
      </c>
      <c r="P108" s="151">
        <f>ROUND(((X88*(AK97/9))+(Y88*(AK105/9))+(Z88*(AK113/9))+(X89*BC97)+(Y89*BC105)*1),0)</f>
        <v>12789</v>
      </c>
      <c r="Q108" s="151">
        <f>ROUND(((X88*(AL97/9))+(Y88*(AL105/9))+(Z88*(AL113/9))+(X89*BD97)+(Y89*BD105)*1),0)</f>
        <v>12789</v>
      </c>
      <c r="R108" s="151">
        <f>ROUND(((X88*(AM97/9))+(Y88*(AM105/9))+(Z88*(AM113/9))+(X89*BE97)+(Y89*BE105)*1),0)</f>
        <v>12789</v>
      </c>
      <c r="W108" s="186"/>
      <c r="X108" s="186"/>
    </row>
    <row r="109" spans="1:57" s="151" customFormat="1" ht="14.1" customHeight="1">
      <c r="A109" s="163" t="s">
        <v>89</v>
      </c>
      <c r="B109" s="187" t="s">
        <v>90</v>
      </c>
      <c r="C109" s="151">
        <f>ROUND(((X88*(X98/9))+(Y88*(X106/9))+(Z88*(X114/9))+(X89*AP98)+(Y89*AP106)*1),0)</f>
        <v>1800</v>
      </c>
      <c r="D109" s="151">
        <f>ROUND(((X88*(Y98/9))+(Y88*(Y106/9))+(Z88*(Y114/9))+(X89*AQ98)+(Y89*AQ106)*1),0)</f>
        <v>1800</v>
      </c>
      <c r="E109" s="151">
        <f>ROUND(((X88*(Z98/9))+(Y88*(Z106/9))+(Z88*(Z114/9))+(X89*AR98)+(Y89*AR106)*1),0)</f>
        <v>1800</v>
      </c>
      <c r="F109" s="151">
        <f>ROUND(((X88*(AA98/9))+(Y88*(AA106/9))+(Z88*(AA114/9))+(X89*AS98)+(Y89*AS106)*1),0)</f>
        <v>1872</v>
      </c>
      <c r="G109" s="151">
        <f>ROUND(((X88*(AB98/9))+(Y88*(AB106/9))+(Z88*(AB114/9))+(X89*AT98)+(Y89*AT106)*1),0)</f>
        <v>1872</v>
      </c>
      <c r="H109" s="151">
        <f>ROUND(((X88*(AC98/9))+(Y88*(AC106/9))+(Z88*(AC114/9))+(X89*AU98)+(Y89*AU106)*1),0)</f>
        <v>1872</v>
      </c>
      <c r="I109" s="151">
        <f>ROUND(((X88*(AD98/9))+(Y88*(AD106/9))+(Z88*(AD114/9))+(X89*AV98)+(Y89*AV106)*1),0)</f>
        <v>1872</v>
      </c>
      <c r="J109" s="151">
        <f>ROUND(((X88*(AE98/9))+(Y88*(AE106/9))+(Z88*(AE114/9))+(X89*AW98)+(Y89*AW106)*1),0)</f>
        <v>1872</v>
      </c>
      <c r="K109" s="151">
        <f>ROUND(((X88*(AF98/9))+(Y88*(AF106/9))+(Z88*(AF114/9))+(X89*AX98)+(Y89*AX106)*1),0)</f>
        <v>1872</v>
      </c>
      <c r="L109" s="151">
        <f>ROUND(((X88*(AG98/9))+(Y88*(AG106/9))+(Z88*(AG114/9))+(X89*AY98)+(Y89*AY106)*1),0)</f>
        <v>1872</v>
      </c>
      <c r="M109" s="151">
        <f>ROUND(((X88*(AH98/9))+(Y88*(AH106/9))+(Z88*(AH114/9))+(X89*AZ98)+(Y89*AZ106)*1),0)</f>
        <v>1872</v>
      </c>
      <c r="N109" s="151">
        <f>ROUND(((X88*(AI98/9))+(Y88*(AI106/9))+(Z88*(AI114/9))+(X89*BA98)+(Y89*BA106)*1),0)</f>
        <v>1872</v>
      </c>
      <c r="O109" s="151">
        <f>ROUND(((X88*(AJ98/9))+(Y88*(AJ106/9))+(Z88*(AJ114/9))+(X89*BB98)+(Y89*BB106)*1),0)</f>
        <v>1872</v>
      </c>
      <c r="P109" s="151">
        <f>ROUND(((X88*(AK98/9))+(Y88*(AK106/9))+(Z88*(AK114/9))+(X89*BC98)+(Y89*BC106)*1),0)</f>
        <v>1872</v>
      </c>
      <c r="Q109" s="151">
        <f>ROUND(((X88*(AL98/9))+(Y88*(AL106/9))+(Z88*(AL114/9))+(X89*BD98)+(Y89*BD106)*1),0)</f>
        <v>1872</v>
      </c>
      <c r="R109" s="151">
        <f>ROUND(((X88*(AM98/9))+(Y88*(AM106/9))+(Z88*(AM114/9))+(X89*BE98)+(Y89*BE106)*1),0)</f>
        <v>1872</v>
      </c>
      <c r="V109" s="178"/>
      <c r="W109" s="178"/>
      <c r="X109" s="181">
        <f t="shared" ref="X109:AM109" si="96">+C124</f>
        <v>44012</v>
      </c>
      <c r="Y109" s="181">
        <f t="shared" si="96"/>
        <v>44027</v>
      </c>
      <c r="Z109" s="181">
        <f t="shared" si="96"/>
        <v>44043</v>
      </c>
      <c r="AA109" s="181">
        <f t="shared" si="96"/>
        <v>44058</v>
      </c>
      <c r="AB109" s="181">
        <f t="shared" si="96"/>
        <v>44074</v>
      </c>
      <c r="AC109" s="181">
        <f t="shared" si="96"/>
        <v>44104</v>
      </c>
      <c r="AD109" s="181">
        <f t="shared" si="96"/>
        <v>44135</v>
      </c>
      <c r="AE109" s="181">
        <f t="shared" si="96"/>
        <v>44165</v>
      </c>
      <c r="AF109" s="181">
        <f t="shared" si="96"/>
        <v>44196</v>
      </c>
      <c r="AG109" s="181">
        <f t="shared" si="96"/>
        <v>44227</v>
      </c>
      <c r="AH109" s="181">
        <f t="shared" si="96"/>
        <v>44255</v>
      </c>
      <c r="AI109" s="181">
        <f t="shared" si="96"/>
        <v>44286</v>
      </c>
      <c r="AJ109" s="181">
        <f t="shared" si="96"/>
        <v>44316</v>
      </c>
      <c r="AK109" s="181">
        <f t="shared" si="96"/>
        <v>44331</v>
      </c>
      <c r="AL109" s="181">
        <f t="shared" si="96"/>
        <v>44347</v>
      </c>
      <c r="AM109" s="181">
        <f t="shared" si="96"/>
        <v>44362</v>
      </c>
    </row>
    <row r="110" spans="1:57" s="151" customFormat="1" ht="14.1" customHeight="1">
      <c r="A110" s="163"/>
      <c r="V110" s="151" t="s">
        <v>60</v>
      </c>
      <c r="W110" s="151" t="s">
        <v>61</v>
      </c>
      <c r="X110" s="151">
        <f t="shared" ref="X110:AM110" si="97">9-(X102+X94)</f>
        <v>0</v>
      </c>
      <c r="Y110" s="151">
        <f t="shared" si="97"/>
        <v>0</v>
      </c>
      <c r="Z110" s="151">
        <f t="shared" si="97"/>
        <v>0</v>
      </c>
      <c r="AA110" s="151">
        <f t="shared" si="97"/>
        <v>0</v>
      </c>
      <c r="AB110" s="151">
        <f t="shared" si="97"/>
        <v>0</v>
      </c>
      <c r="AC110" s="151">
        <f t="shared" si="97"/>
        <v>0</v>
      </c>
      <c r="AD110" s="151">
        <f t="shared" si="97"/>
        <v>0</v>
      </c>
      <c r="AE110" s="151">
        <f t="shared" si="97"/>
        <v>0</v>
      </c>
      <c r="AF110" s="151">
        <f t="shared" si="97"/>
        <v>0</v>
      </c>
      <c r="AG110" s="151">
        <f t="shared" si="97"/>
        <v>0</v>
      </c>
      <c r="AH110" s="151">
        <f t="shared" si="97"/>
        <v>0</v>
      </c>
      <c r="AI110" s="151">
        <f t="shared" si="97"/>
        <v>0</v>
      </c>
      <c r="AJ110" s="151">
        <f t="shared" si="97"/>
        <v>0</v>
      </c>
      <c r="AK110" s="151">
        <f t="shared" si="97"/>
        <v>0</v>
      </c>
      <c r="AL110" s="151">
        <f t="shared" si="97"/>
        <v>0</v>
      </c>
      <c r="AM110" s="151">
        <f t="shared" si="97"/>
        <v>0</v>
      </c>
    </row>
    <row r="111" spans="1:57" s="151" customFormat="1" ht="14.1" customHeight="1">
      <c r="A111" s="111" t="s">
        <v>92</v>
      </c>
      <c r="V111" s="151" t="s">
        <v>65</v>
      </c>
      <c r="W111" s="151" t="s">
        <v>66</v>
      </c>
      <c r="X111" s="151">
        <f t="shared" ref="X111:AM111" si="98">9-(X103+X95)</f>
        <v>0</v>
      </c>
      <c r="Y111" s="151">
        <f t="shared" si="98"/>
        <v>0</v>
      </c>
      <c r="Z111" s="151">
        <f t="shared" si="98"/>
        <v>0</v>
      </c>
      <c r="AA111" s="151">
        <f t="shared" si="98"/>
        <v>0</v>
      </c>
      <c r="AB111" s="151">
        <f t="shared" si="98"/>
        <v>0</v>
      </c>
      <c r="AC111" s="151">
        <f t="shared" si="98"/>
        <v>0</v>
      </c>
      <c r="AD111" s="151">
        <f t="shared" si="98"/>
        <v>0</v>
      </c>
      <c r="AE111" s="151">
        <f t="shared" si="98"/>
        <v>0</v>
      </c>
      <c r="AF111" s="151">
        <f t="shared" si="98"/>
        <v>0</v>
      </c>
      <c r="AG111" s="151">
        <f t="shared" si="98"/>
        <v>0</v>
      </c>
      <c r="AH111" s="151">
        <f t="shared" si="98"/>
        <v>0</v>
      </c>
      <c r="AI111" s="151">
        <f t="shared" si="98"/>
        <v>0</v>
      </c>
      <c r="AJ111" s="151">
        <f t="shared" si="98"/>
        <v>0</v>
      </c>
      <c r="AK111" s="151">
        <f t="shared" si="98"/>
        <v>0</v>
      </c>
      <c r="AL111" s="151">
        <f t="shared" si="98"/>
        <v>0</v>
      </c>
      <c r="AM111" s="151">
        <f t="shared" si="98"/>
        <v>0</v>
      </c>
    </row>
    <row r="112" spans="1:57" s="151" customFormat="1" ht="14.1" customHeight="1">
      <c r="A112" s="163"/>
      <c r="B112" s="166" t="s">
        <v>54</v>
      </c>
      <c r="V112" s="151" t="s">
        <v>69</v>
      </c>
      <c r="W112" s="151" t="s">
        <v>66</v>
      </c>
      <c r="X112" s="151">
        <f t="shared" ref="X112:AM112" si="99">9-(X104+X96)</f>
        <v>0</v>
      </c>
      <c r="Y112" s="151">
        <f t="shared" si="99"/>
        <v>0</v>
      </c>
      <c r="Z112" s="151">
        <f t="shared" si="99"/>
        <v>0</v>
      </c>
      <c r="AA112" s="151">
        <f t="shared" si="99"/>
        <v>0</v>
      </c>
      <c r="AB112" s="151">
        <f t="shared" si="99"/>
        <v>0</v>
      </c>
      <c r="AC112" s="151">
        <f t="shared" si="99"/>
        <v>0</v>
      </c>
      <c r="AD112" s="151">
        <f t="shared" si="99"/>
        <v>0</v>
      </c>
      <c r="AE112" s="151">
        <f t="shared" si="99"/>
        <v>0</v>
      </c>
      <c r="AF112" s="151">
        <f t="shared" si="99"/>
        <v>0</v>
      </c>
      <c r="AG112" s="151">
        <f t="shared" si="99"/>
        <v>0</v>
      </c>
      <c r="AH112" s="151">
        <f t="shared" si="99"/>
        <v>0</v>
      </c>
      <c r="AI112" s="151">
        <f t="shared" si="99"/>
        <v>0</v>
      </c>
      <c r="AJ112" s="151">
        <f t="shared" si="99"/>
        <v>0</v>
      </c>
      <c r="AK112" s="151">
        <f t="shared" si="99"/>
        <v>0</v>
      </c>
      <c r="AL112" s="151">
        <f t="shared" si="99"/>
        <v>0</v>
      </c>
      <c r="AM112" s="151">
        <f t="shared" si="99"/>
        <v>0</v>
      </c>
    </row>
    <row r="113" spans="1:39" s="151" customFormat="1" ht="14.1" customHeight="1">
      <c r="A113" s="172"/>
      <c r="B113" s="173" t="s">
        <v>58</v>
      </c>
      <c r="C113" s="174">
        <f>C12</f>
        <v>44012</v>
      </c>
      <c r="D113" s="174">
        <f t="shared" ref="D113:R113" si="100">D12</f>
        <v>44027</v>
      </c>
      <c r="E113" s="174">
        <f t="shared" si="100"/>
        <v>44043</v>
      </c>
      <c r="F113" s="174">
        <f t="shared" si="100"/>
        <v>44058</v>
      </c>
      <c r="G113" s="174">
        <f t="shared" si="100"/>
        <v>44074</v>
      </c>
      <c r="H113" s="174">
        <f t="shared" si="100"/>
        <v>44104</v>
      </c>
      <c r="I113" s="174">
        <f t="shared" si="100"/>
        <v>44135</v>
      </c>
      <c r="J113" s="174">
        <f t="shared" si="100"/>
        <v>44165</v>
      </c>
      <c r="K113" s="174">
        <f t="shared" si="100"/>
        <v>44196</v>
      </c>
      <c r="L113" s="174">
        <f t="shared" si="100"/>
        <v>44227</v>
      </c>
      <c r="M113" s="174">
        <f t="shared" si="100"/>
        <v>44255</v>
      </c>
      <c r="N113" s="174">
        <f t="shared" si="100"/>
        <v>44286</v>
      </c>
      <c r="O113" s="174">
        <f t="shared" si="100"/>
        <v>44316</v>
      </c>
      <c r="P113" s="174">
        <f t="shared" si="100"/>
        <v>44331</v>
      </c>
      <c r="Q113" s="174">
        <f t="shared" si="100"/>
        <v>44347</v>
      </c>
      <c r="R113" s="174">
        <f t="shared" si="100"/>
        <v>44362</v>
      </c>
      <c r="V113" s="151" t="s">
        <v>71</v>
      </c>
      <c r="W113" s="151" t="s">
        <v>66</v>
      </c>
      <c r="X113" s="151">
        <f t="shared" ref="X113:AM113" si="101">9-(X105+X97)</f>
        <v>0</v>
      </c>
      <c r="Y113" s="151">
        <f t="shared" si="101"/>
        <v>0</v>
      </c>
      <c r="Z113" s="151">
        <f t="shared" si="101"/>
        <v>0</v>
      </c>
      <c r="AA113" s="151">
        <f t="shared" si="101"/>
        <v>0</v>
      </c>
      <c r="AB113" s="151">
        <f t="shared" si="101"/>
        <v>0</v>
      </c>
      <c r="AC113" s="151">
        <f t="shared" si="101"/>
        <v>0</v>
      </c>
      <c r="AD113" s="151">
        <f t="shared" si="101"/>
        <v>0</v>
      </c>
      <c r="AE113" s="151">
        <f t="shared" si="101"/>
        <v>0</v>
      </c>
      <c r="AF113" s="151">
        <f t="shared" si="101"/>
        <v>0</v>
      </c>
      <c r="AG113" s="151">
        <f t="shared" si="101"/>
        <v>0</v>
      </c>
      <c r="AH113" s="151">
        <f t="shared" si="101"/>
        <v>0</v>
      </c>
      <c r="AI113" s="151">
        <f t="shared" si="101"/>
        <v>0</v>
      </c>
      <c r="AJ113" s="151">
        <f t="shared" si="101"/>
        <v>0</v>
      </c>
      <c r="AK113" s="151">
        <f t="shared" si="101"/>
        <v>0</v>
      </c>
      <c r="AL113" s="151">
        <f t="shared" si="101"/>
        <v>0</v>
      </c>
      <c r="AM113" s="151">
        <f t="shared" si="101"/>
        <v>0</v>
      </c>
    </row>
    <row r="114" spans="1:39" s="151" customFormat="1" ht="14.1" customHeight="1">
      <c r="A114" s="163"/>
      <c r="V114" s="151" t="s">
        <v>73</v>
      </c>
      <c r="W114" s="151" t="s">
        <v>74</v>
      </c>
      <c r="X114" s="151">
        <v>0</v>
      </c>
      <c r="Y114" s="151">
        <v>0</v>
      </c>
      <c r="Z114" s="151">
        <v>0</v>
      </c>
      <c r="AA114" s="151">
        <v>0</v>
      </c>
      <c r="AB114" s="151">
        <v>0</v>
      </c>
      <c r="AC114" s="151">
        <v>0</v>
      </c>
      <c r="AD114" s="151">
        <v>0</v>
      </c>
      <c r="AE114" s="151">
        <v>0</v>
      </c>
      <c r="AF114" s="151">
        <v>0</v>
      </c>
      <c r="AG114" s="151">
        <v>0</v>
      </c>
      <c r="AH114" s="151">
        <v>0</v>
      </c>
      <c r="AI114" s="151">
        <v>0</v>
      </c>
      <c r="AJ114" s="151">
        <v>0</v>
      </c>
      <c r="AK114" s="151">
        <v>0</v>
      </c>
      <c r="AL114" s="151">
        <v>0</v>
      </c>
      <c r="AM114" s="151">
        <v>0</v>
      </c>
    </row>
    <row r="115" spans="1:39" s="151" customFormat="1" ht="14.1" customHeight="1">
      <c r="A115" s="163" t="s">
        <v>87</v>
      </c>
      <c r="B115" s="151">
        <v>12</v>
      </c>
      <c r="C115" s="151">
        <f>ROUND(((AB88*(X94/9))+(AC88*(X102/9))+(AD88*(X110/9))+(AB89*AP94)+(AB89*AP102)*1),0)</f>
        <v>29642</v>
      </c>
      <c r="D115" s="151">
        <f>ROUND(((AB88*(Y94/9))+(AC88*(Y102/9))+(AD88*(Y110/9))+(AB89*AQ94)+(AB89*AQ102)*1),0)</f>
        <v>29642</v>
      </c>
      <c r="E115" s="151">
        <f>ROUND(((AB88*(Z94/9))+(AC88*(Z102/9))+(AD88*(Z110/9))+(AB89*AR94)+(AB89*AR102)*1),0)</f>
        <v>29642</v>
      </c>
      <c r="F115" s="151">
        <f>ROUND(((AB88*(AA94/9))+(AC88*(AA102/9))+(AD88*(AA110/9))+(AB89*AS94)+(AC89*AS102)*1),0)</f>
        <v>29714</v>
      </c>
      <c r="G115" s="151">
        <f>ROUND(((AB88*(AB94/9))+(AC88*(AB102/9))+(AD88*(AB110/9))+(AB89*AT94)+(AC89*AT102)*1),0)</f>
        <v>29775</v>
      </c>
      <c r="H115" s="151">
        <f>ROUND(((AB88*(AC94/9))+(AC88*(AC102/9))+(AD88*(AC110/9))+(AB89*AU94)+(AC89*AU102)*1),0)</f>
        <v>29899</v>
      </c>
      <c r="I115" s="151">
        <f>ROUND(((AB88*(AD94/9))+(AC88*(AD102/9))+(AD88*(AD110/9))+(AB89*AV94)+(AC89*AV102)*1),0)</f>
        <v>30023</v>
      </c>
      <c r="J115" s="151">
        <f>ROUND(((AB88*(AE94/9))+(AC88*(AE102/9))+(AD88*(AE110/9))+(AB89*AW94)+(AC89*AW102)*1),0)</f>
        <v>30147</v>
      </c>
      <c r="K115" s="151">
        <f>ROUND(((AB88*(AF94/9))+(AC88*(AF102/9))+(AD88*(AF110/9))+(AB89*AX94)+(AC89*AX102)*1),0)</f>
        <v>30271</v>
      </c>
      <c r="L115" s="151">
        <f>ROUND(((AB88*(AG94/9))+(AC88*(AG102/9))+(AD88*(AG110/9))+(AB89*AY94)+(AC89*AY102)*1),0)</f>
        <v>30394</v>
      </c>
      <c r="M115" s="151">
        <f>ROUND(((AB88*(AH94/9))+(AC88*(AH102/9))+(AD88*(AH110/9))+(AB89*AZ94)+(AC89*AZ102)*1),0)</f>
        <v>30518</v>
      </c>
      <c r="N115" s="151">
        <f>ROUND(((AB88*(AI94/9))+(AC88*(AI102/9))+(AD88*(AI110/9))+(AB89*BA94)+(AC89*BA102)*1),0)</f>
        <v>30642</v>
      </c>
      <c r="O115" s="151">
        <f>ROUND(((AB88*(AJ94/9))+(AC88*(AJ102/9))+(AD88*(AJ110/9))+(AB89*BB94)+(AC89*BB102)*1),0)</f>
        <v>30766</v>
      </c>
      <c r="P115" s="151">
        <f>ROUND(((AB88*(AK94/9))+(AC88*(AK102/9))+(AD88*(AK110/9))+(AB89*BC94)+(AC89*BC102)*1),0)</f>
        <v>30828</v>
      </c>
      <c r="Q115" s="151">
        <f>ROUND(((AB88*(AL94/9))+(AC88*(AL102/9))+(AD88*(AL110/9))+(AB89*BD94)+(AC89*BD102)*1),0)</f>
        <v>30828</v>
      </c>
      <c r="R115" s="151">
        <f>ROUND(((AB88*(AM94/9))+(AC88*(AM102/9))+(AD88*(AM110/9))+(AB89*BE94)+(AC89*BE102)*1),0)</f>
        <v>30828</v>
      </c>
    </row>
    <row r="116" spans="1:39" ht="14.1" customHeight="1">
      <c r="A116" s="163" t="s">
        <v>87</v>
      </c>
      <c r="B116" s="151">
        <v>11</v>
      </c>
      <c r="C116" s="151">
        <f>ROUND(((AB88*(X95/9))+(AC88*(X103/9))+(AD88*(X111/9))+(AB89*AP95)+(AB89*AP103)*1),0)</f>
        <v>29642</v>
      </c>
      <c r="D116" s="151">
        <f>ROUND(((AB88*(Y95/9))+(AC88*(Y103/9))+(AD88*(Y111/9))+(AB89*AQ95)+(AB89*AQ103)*1),0)</f>
        <v>29642</v>
      </c>
      <c r="E116" s="151">
        <f>ROUND(((AB88*(Z95/9))+(AC88*(Z103/9))+(AD88*(Z111/9))+(AB89*AR95)+(AB89*AR103)*1),0)</f>
        <v>29642</v>
      </c>
      <c r="F116" s="151">
        <f>ROUND(((AB88*(AA95/9))+(AC88*(AA103/9))+(AD88*(AA111/9))+(AB89*AS95)+(AC89*AS103)*1),0)</f>
        <v>29714</v>
      </c>
      <c r="G116" s="151">
        <f>ROUND(((AB88*(AB95/9))+(AC88*(AB103/9))+(AD88*(AB111/9))+(AB89*AT95)+(AC89*AT103)*1),0)</f>
        <v>29775</v>
      </c>
      <c r="H116" s="151">
        <f>ROUND(((AB88*(AC95/9))+(AC88*(AC103/9))+(AD88*(AC111/9))+(AB89*AU95)+(AC89*AU103)*1),0)</f>
        <v>29899</v>
      </c>
      <c r="I116" s="151">
        <f>ROUND(((AB88*(AD95/9))+(AC88*(AD103/9))+(AD88*(AD111/9))+(AB89*AV95)+(AC89*AV103)*1),0)</f>
        <v>30023</v>
      </c>
      <c r="J116" s="151">
        <f>ROUND(((AB88*(AE95/9))+(AC88*(AE103/9))+(AD88*(AE111/9))+(AB89*AW95)+(AC89*AW103)*1),0)</f>
        <v>30147</v>
      </c>
      <c r="K116" s="151">
        <f>ROUND(((AB88*(AF95/9))+(AC88*(AF103/9))+(AD88*(AF111/9))+(AB89*AX95)+(AC89*AX103)*1),0)</f>
        <v>30271</v>
      </c>
      <c r="L116" s="151">
        <f>ROUND(((AB88*(AG95/9))+(AC88*(AG103/9))+(AD88*(AG111/9))+(AB89*AY95)+(AC89*AY103)*1),0)</f>
        <v>30394</v>
      </c>
      <c r="M116" s="151">
        <f>ROUND(((AB88*(AH95/9))+(AC88*(AH103/9))+(AD88*(AH111/9))+(AB89*AZ95)+(AC89*AZ103)*1),0)</f>
        <v>30518</v>
      </c>
      <c r="N116" s="151">
        <f>ROUND(((AB88*(AI95/9))+(AC88*(AI103/9))+(AD88*(AI111/9))+(AB89*BA95)+(AC89*BA103)*1),0)</f>
        <v>30642</v>
      </c>
      <c r="O116" s="151">
        <f>ROUND(((AB88*(AJ95/9))+(AC88*(AJ103/9))+(AD88*(AJ111/9))+(AB89*BB95)+(AC89*BB103)*1),0)</f>
        <v>30766</v>
      </c>
      <c r="P116" s="151">
        <f>ROUND(((AB88*(AK95/9))+(AC88*(AK103/9))+(AD88*(AK111/9))+(AB89*BC95)+(AC89*BC103)*1),0)</f>
        <v>30828</v>
      </c>
      <c r="Q116" s="151">
        <f>ROUND(((AB88*(AL95/9))+(AC88*(AL103/9))+(AD88*(AL111/9))+(AB89*BD95)+(AC89*BD103)*1),0)</f>
        <v>30828</v>
      </c>
      <c r="R116" s="151">
        <f>ROUND(((AB88*(AM95/9))+(AC88*(AM103/9))+(AD88*(AM111/9))+(AB89*BE95)+(AC89*BE103)*1),0)</f>
        <v>30828</v>
      </c>
    </row>
    <row r="117" spans="1:39" ht="14.1" customHeight="1">
      <c r="A117" s="163" t="s">
        <v>88</v>
      </c>
      <c r="B117" s="151">
        <v>10</v>
      </c>
      <c r="C117" s="151">
        <f>ROUND(((AB88*(X96/9))+(AC88*(X104/9))+(AD88*(X112/9))+(AB89*AP96)+(AC89*AP104)*1),0)</f>
        <v>27842</v>
      </c>
      <c r="D117" s="151">
        <f>ROUND(((AB88*(Y96/9))+(AC88*(Y104/9))+(AD88*(Y112/9))+(AB89*AQ96)+(AC89*AQ104)*1),0)</f>
        <v>27842</v>
      </c>
      <c r="E117" s="151">
        <f>ROUND(((AB88*(Z96/9))+(AC88*(Z104/9))+(AD88*(Z112/9))+(AB89*AR96)+(AC89*AR104)*1),0)</f>
        <v>27842</v>
      </c>
      <c r="F117" s="151">
        <f>ROUND(((AB88*(AA96/9))+(AC88*(AA104/9))+(AD88*(AA112/9))+(AB89*AS96)+(AC89*AS104)*1),0)</f>
        <v>27842</v>
      </c>
      <c r="G117" s="151">
        <f>ROUND(((AB88*(AB96/9))+(AC88*(AB104/9))+(AD88*(AB112/9))+(AB89*AT96)+(AC89*AT104)*1),0)</f>
        <v>27904</v>
      </c>
      <c r="H117" s="151">
        <f>ROUND(((AB88*(AC96/9))+(AC88*(AC104/9))+(AD88*(AC112/9))+(AB89*AU96)+(AC89*AU104)*1),0)</f>
        <v>28028</v>
      </c>
      <c r="I117" s="151">
        <f>ROUND(((AB88*(AD96/9))+(AC88*(AD104/9))+(AD88*(AD112/9))+(AB89*AV96)+(AC89*AV104)*1),0)</f>
        <v>28151</v>
      </c>
      <c r="J117" s="151">
        <f>ROUND(((AB88*(AE96/9))+(AC88*(AE104/9))+(AD88*(AE112/9))+(AB89*AW96)+(AC89*AW104)*1),0)</f>
        <v>28275</v>
      </c>
      <c r="K117" s="151">
        <f>ROUND(((AB88*(AF96/9))+(AC88*(AF104/9))+(AD88*(AF112/9))+(AB89*AX96)+(AC89*AX104)*1),0)</f>
        <v>28399</v>
      </c>
      <c r="L117" s="151">
        <f>ROUND(((AB88*(AG96/9))+(AC88*(AG104/9))+(AD88*(AG112/9))+(AB89*AY96)+(AC89*AY104)*1),0)</f>
        <v>28523</v>
      </c>
      <c r="M117" s="151">
        <f>ROUND(((AB88*(AH96/9))+(AC88*(AH104/9))+(AD88*(AH112/9))+(AB89*AZ96)+(AC89*AZ104)*1),0)</f>
        <v>28647</v>
      </c>
      <c r="N117" s="151">
        <f>ROUND(((AB88*(AI96/9))+(AC88*(AI104/9))+(AD88*(AI112/9))+(AB89*BA96)+(AC89*BA104)*1),0)</f>
        <v>28770</v>
      </c>
      <c r="O117" s="151">
        <f>ROUND(((AB88*(AJ96/9))+(AC88*(AJ104/9))+(AD88*(AJ112/9))+(AB89*BB96)+(AC89*BB104)*1),0)</f>
        <v>28894</v>
      </c>
      <c r="P117" s="151">
        <f>ROUND(((AB88*(AK96/9))+(AC88*(AK104/9))+(AD88*(AK112/9))+(AB89*BC96)+(AC89*BC104)*1),0)</f>
        <v>28956</v>
      </c>
      <c r="Q117" s="151">
        <f>ROUND(((AB88*(AL96/9))+(AC88*(AL104/9))+(AD88*(AL112/9))+(AB89*BD96)+(AC89*BD104)*1),0)</f>
        <v>28956</v>
      </c>
      <c r="R117" s="151">
        <f>ROUND(((AB88*(AM96/9))+(AC88*(AM104/9))+(AD88*(AM112/9))+(AB89*BE96)+(AC89*BE104)*1),0)</f>
        <v>28956</v>
      </c>
    </row>
    <row r="118" spans="1:39" ht="14.1" customHeight="1">
      <c r="A118" s="163" t="s">
        <v>88</v>
      </c>
      <c r="B118" s="151">
        <v>9</v>
      </c>
      <c r="C118" s="151">
        <f>ROUND(((AB88*(X97/9))+(AC88*(X105/9))+(AD88*(X113/9))+(AB89*AP97)+(AC89*AP105)*1),0)</f>
        <v>27842</v>
      </c>
      <c r="D118" s="151">
        <f>ROUND(((AB88*(Y97/9))+(AC88*(Y105/9))+(AD88*(Y113/9))+(AB89*AQ97)+(AC89*AQ105)*1),0)</f>
        <v>27842</v>
      </c>
      <c r="E118" s="151">
        <f>ROUND(((AB88*(Z97/9))+(AC88*(Z105/9))+(AD88*(Z113/9))+(AB89*AR97)+(AC89*AR105)*1),0)</f>
        <v>27842</v>
      </c>
      <c r="F118" s="151">
        <f>ROUND(((AB88*(AA97/9))+(AC88*(AA105/9))+(AD88*(AA113/9))+(AB89*AS97)+(AC89*AS105)*1),0)</f>
        <v>27842</v>
      </c>
      <c r="G118" s="151">
        <f>ROUND(((AB88*(AB97/9))+(AC88*(AB105/9))+(AD88*(AB113/9))+(AB89*AT97)+(AC89*AT105)*1),0)</f>
        <v>27904</v>
      </c>
      <c r="H118" s="151">
        <f>ROUND(((AB88*(AC97/9))+(AC88*(AC105/9))+(AD88*(AC113/9))+(AB89*AU97)+(AC89*AU105)*1),0)</f>
        <v>28028</v>
      </c>
      <c r="I118" s="151">
        <f>ROUND(((AB88*(AD97/9))+(AC88*(AD105/9))+(AD88*(AD113/9))+(AB89*AV97)+(AC89*AV105)*1),0)</f>
        <v>28151</v>
      </c>
      <c r="J118" s="151">
        <f>ROUND(((AB88*(AE97/9))+(AC88*(AE105/9))+(AD88*(AE113/9))+(AB89*AW97)+(AC89*AW105)*1),0)</f>
        <v>28275</v>
      </c>
      <c r="K118" s="151">
        <f>ROUND(((AB88*(AF97/9))+(AC88*(AF105/9))+(AD88*(AF113/9))+(AB89*AX97)+(AC89*AX105)*1),0)</f>
        <v>28399</v>
      </c>
      <c r="L118" s="151">
        <f>ROUND(((AB88*(AG97/9))+(AC88*(AG105/9))+(AD88*(AG113/9))+(AB89*AY97)+(AC89*AY105)*1),0)</f>
        <v>28523</v>
      </c>
      <c r="M118" s="151">
        <f>ROUND(((AB88*(AH97/9))+(AC88*(AH105/9))+(AD88*(AH113/9))+(AB89*AZ97)+(AC89*AZ105)*1),0)</f>
        <v>28647</v>
      </c>
      <c r="N118" s="151">
        <f>ROUND(((AB88*(AI97/9))+(AC88*(AI105/9))+(AD88*(AI113/9))+(AB89*BA97)+(AC89*BA105)*1),0)</f>
        <v>28770</v>
      </c>
      <c r="O118" s="151">
        <f>ROUND(((AB88*(AJ97/9))+(AC88*(AJ105/9))+(AD88*(AJ113/9))+(AB89*BB97)+(AC89*BB105)*1),0)</f>
        <v>28894</v>
      </c>
      <c r="P118" s="151">
        <f>ROUND(((AB88*(AK97/9))+(AC88*(AK105/9))+(AD88*(AK113/9))+(AB89*BC97)+(AC89*BC105)*1),0)</f>
        <v>28956</v>
      </c>
      <c r="Q118" s="151">
        <f>ROUND(((AB88*(AL97/9))+(AC88*(AL105/9))+(AD88*(AL113/9))+(AB89*BD97)+(AC89*BD105)*1),0)</f>
        <v>28956</v>
      </c>
      <c r="R118" s="151">
        <f>ROUND(((AB88*(AM97/9))+(AC88*(AM105/9))+(AD88*(AM113/9))+(AB89*BE97)+(AC89*BE105)*1),0)</f>
        <v>28956</v>
      </c>
    </row>
    <row r="119" spans="1:39" ht="14.1" customHeight="1">
      <c r="A119" s="163" t="s">
        <v>89</v>
      </c>
      <c r="B119" s="187" t="s">
        <v>90</v>
      </c>
      <c r="C119" s="151">
        <f>ROUND(((AB88*(X98/9))+(AC88*(X106/9))+(AD88*(X114/9))+(AB89*AP98)+(AC89*AP106)*1),0)</f>
        <v>1800</v>
      </c>
      <c r="D119" s="151">
        <f>ROUND(((AB88*(Y98/9))+(AC88*(Y106/9))+(AD88*(Y114/9))+(AB89*AQ98)+(AC89*AQ106)*1),0)</f>
        <v>1800</v>
      </c>
      <c r="E119" s="151">
        <f>ROUND(((AB88*(Z98/9))+(AC88*(Z106/9))+(AD88*(Z114/9))+(AB89*AR98)+(AC89*AR106)*1),0)</f>
        <v>1800</v>
      </c>
      <c r="F119" s="151">
        <f>ROUND(((AB88*(AA98/9))+(AC88*(AA106/9))+(AD88*(AA114/9))+(AB89*AS98)+(AC89*AS106)*1),0)</f>
        <v>1872</v>
      </c>
      <c r="G119" s="151">
        <f>ROUND(((AB88*(AB98/9))+(AC88*(AB106/9))+(AD88*(AB114/9))+(AB89*AT98)+(AC89*AT106)*1),0)</f>
        <v>1872</v>
      </c>
      <c r="H119" s="151">
        <f>ROUND(((AB88*(AC98/9))+(AC88*(AC106/9))+(AD88*(AC114/9))+(AB89*AU98)+(AC89*AU106)*1),0)</f>
        <v>1872</v>
      </c>
      <c r="I119" s="151">
        <f>ROUND(((AB88*(AD98/9))+(AC88*(AD106/9))+(AD88*(AD114/9))+(AB89*AV98)+(AC89*AV106)*1),0)</f>
        <v>1872</v>
      </c>
      <c r="J119" s="151">
        <f>ROUND(((AB88*(AE98/9))+(AC88*(AE106/9))+(AD88*(AE114/9))+(AB89*AW98)+(AC89*AW106)*1),0)</f>
        <v>1872</v>
      </c>
      <c r="K119" s="151">
        <f>ROUND(((AB88*(AF98/9))+(AC88*(AF106/9))+(AD88*(AF114/9))+(AB89*AX98)+(AC89*AX106)*1),0)</f>
        <v>1872</v>
      </c>
      <c r="L119" s="151">
        <f>ROUND(((AB88*(AG98/9))+(AC88*(AG106/9))+(AD88*(AG114/9))+(AB89*AY98)+(AC89*AY106)*1),0)</f>
        <v>1872</v>
      </c>
      <c r="M119" s="151">
        <f>ROUND(((AB88*(AH98/9))+(AC88*(AH106/9))+(AD88*(AH114/9))+(AB89*AZ98)+(AC89*AZ106)*1),0)</f>
        <v>1872</v>
      </c>
      <c r="N119" s="151">
        <f>ROUND(((AB88*(AI98/9))+(AC88*(AI106/9))+(AD88*(AI114/9))+(AB89*BA98)+(AC89*BA106)*1),0)</f>
        <v>1872</v>
      </c>
      <c r="O119" s="151">
        <f>ROUND(((AB88*(AJ98/9))+(AC88*(AJ106/9))+(AD88*(AJ114/9))+(AB89*BB98)+(AC89*BB106)*1),0)</f>
        <v>1872</v>
      </c>
      <c r="P119" s="151">
        <f>ROUND(((AB88*(AK98/9))+(AC88*(AK106/9))+(AD88*(AK114/9))+(AB89*BC98)+(AC89*BC106)*1),0)</f>
        <v>1872</v>
      </c>
      <c r="Q119" s="151">
        <f>ROUND(((AB88*(AL98/9))+(AC88*(AL106/9))+(AD88*(AL114/9))+(AB89*BD98)+(AC89*BD106)*1),0)</f>
        <v>1872</v>
      </c>
      <c r="R119" s="151">
        <f>ROUND(((AB88*(AM98/9))+(AC88*(AM106/9))+(AD88*(AM114/9))+(AB89*BE98)+(AC89*BE106)*1),0)</f>
        <v>1872</v>
      </c>
    </row>
    <row r="120" spans="1:39" ht="11.25" customHeight="1">
      <c r="A120" s="163"/>
      <c r="B120" s="151"/>
      <c r="C120" s="151"/>
      <c r="D120" s="151"/>
      <c r="E120" s="151"/>
      <c r="F120" s="151"/>
      <c r="G120" s="151"/>
      <c r="H120" s="151"/>
      <c r="I120" s="151"/>
      <c r="J120" s="151"/>
      <c r="K120" s="151"/>
      <c r="L120" s="151"/>
      <c r="M120" s="151"/>
      <c r="N120" s="151"/>
      <c r="O120" s="151"/>
      <c r="P120" s="151"/>
      <c r="Q120" s="151"/>
      <c r="R120" s="151"/>
    </row>
    <row r="121" spans="1:39" ht="22.5" customHeight="1" thickBot="1">
      <c r="A121" s="156" t="s">
        <v>96</v>
      </c>
      <c r="B121" s="157"/>
      <c r="C121" s="157"/>
      <c r="D121" s="157"/>
      <c r="E121" s="157"/>
      <c r="F121" s="157"/>
      <c r="G121" s="157"/>
      <c r="H121" s="157"/>
      <c r="I121" s="157"/>
      <c r="J121" s="157"/>
      <c r="K121" s="157"/>
      <c r="L121" s="157"/>
      <c r="M121" s="157"/>
      <c r="N121" s="157"/>
      <c r="O121" s="157"/>
      <c r="P121" s="157"/>
      <c r="Q121" s="157"/>
      <c r="R121" s="157"/>
    </row>
    <row r="122" spans="1:39" ht="14.1" customHeight="1">
      <c r="A122" s="188" t="s">
        <v>332</v>
      </c>
      <c r="B122" s="184"/>
      <c r="C122" s="189"/>
      <c r="D122" s="190"/>
      <c r="E122" s="151"/>
      <c r="F122" s="151"/>
      <c r="G122" s="151"/>
      <c r="H122" s="151"/>
      <c r="I122" s="151"/>
      <c r="J122" s="151"/>
      <c r="K122" s="151"/>
      <c r="L122" s="151"/>
      <c r="M122" s="151"/>
      <c r="N122" s="151"/>
      <c r="O122" s="151"/>
      <c r="P122" s="151"/>
      <c r="Q122" s="151"/>
      <c r="R122" s="151"/>
    </row>
    <row r="123" spans="1:39" ht="14.1" customHeight="1">
      <c r="A123" s="163"/>
      <c r="B123" s="166" t="s">
        <v>54</v>
      </c>
      <c r="C123" s="151"/>
      <c r="D123" s="151"/>
      <c r="E123" s="151"/>
      <c r="F123" s="151"/>
      <c r="G123" s="151"/>
      <c r="H123" s="151"/>
      <c r="I123" s="151"/>
      <c r="J123" s="151"/>
      <c r="K123" s="151"/>
      <c r="L123" s="151"/>
      <c r="M123" s="151"/>
      <c r="N123" s="151"/>
      <c r="O123" s="151"/>
      <c r="P123" s="151"/>
      <c r="Q123" s="151"/>
      <c r="R123" s="151"/>
    </row>
    <row r="124" spans="1:39" ht="14.1" customHeight="1">
      <c r="A124" s="172"/>
      <c r="B124" s="173" t="s">
        <v>58</v>
      </c>
      <c r="C124" s="174">
        <f>C12</f>
        <v>44012</v>
      </c>
      <c r="D124" s="174">
        <f t="shared" ref="D124:R124" si="102">+D113</f>
        <v>44027</v>
      </c>
      <c r="E124" s="174">
        <f t="shared" si="102"/>
        <v>44043</v>
      </c>
      <c r="F124" s="174">
        <f t="shared" si="102"/>
        <v>44058</v>
      </c>
      <c r="G124" s="174">
        <f t="shared" si="102"/>
        <v>44074</v>
      </c>
      <c r="H124" s="174">
        <f t="shared" si="102"/>
        <v>44104</v>
      </c>
      <c r="I124" s="174">
        <f t="shared" si="102"/>
        <v>44135</v>
      </c>
      <c r="J124" s="174">
        <f t="shared" si="102"/>
        <v>44165</v>
      </c>
      <c r="K124" s="174">
        <f t="shared" si="102"/>
        <v>44196</v>
      </c>
      <c r="L124" s="174">
        <f t="shared" si="102"/>
        <v>44227</v>
      </c>
      <c r="M124" s="174">
        <f t="shared" si="102"/>
        <v>44255</v>
      </c>
      <c r="N124" s="174">
        <f t="shared" si="102"/>
        <v>44286</v>
      </c>
      <c r="O124" s="174">
        <f t="shared" si="102"/>
        <v>44316</v>
      </c>
      <c r="P124" s="174">
        <f t="shared" si="102"/>
        <v>44331</v>
      </c>
      <c r="Q124" s="174">
        <f t="shared" si="102"/>
        <v>44347</v>
      </c>
      <c r="R124" s="174">
        <f t="shared" si="102"/>
        <v>44362</v>
      </c>
    </row>
    <row r="125" spans="1:39" ht="14.1" customHeight="1">
      <c r="A125" s="163"/>
      <c r="B125" s="151"/>
      <c r="C125" s="151"/>
      <c r="D125" s="151"/>
      <c r="E125" s="151"/>
      <c r="F125" s="151"/>
      <c r="G125" s="151"/>
      <c r="H125" s="151"/>
      <c r="I125" s="151"/>
      <c r="J125" s="151"/>
      <c r="K125" s="151"/>
      <c r="L125" s="151"/>
      <c r="M125" s="151"/>
      <c r="N125" s="151"/>
      <c r="O125" s="151"/>
      <c r="P125" s="151"/>
      <c r="Q125" s="151"/>
      <c r="R125" s="151"/>
    </row>
    <row r="126" spans="1:39" ht="14.1" customHeight="1">
      <c r="A126" s="191" t="s">
        <v>97</v>
      </c>
      <c r="B126" s="192"/>
      <c r="C126" s="151">
        <f>ROUND(((AF88*(X97/9))+(AG88*(X105/9))+(AH88*(X113/9))+(AF89*AP97)+(AG89*AP105)*1),0)</f>
        <v>2524</v>
      </c>
      <c r="D126" s="151">
        <f>ROUND(((AF88*(Y97/9))+(AG88*(Y105/9))+(AH88*(Y113/9))+(AF89*AQ97)+(AG89*AQ105)*1),0)</f>
        <v>2524</v>
      </c>
      <c r="E126" s="151">
        <f>ROUND(((AF88*(Z97/9))+(AG88*(Z105/9))+(AH88*(Z113/9))+(AF89*AR97)+(AG89*AR105)*1),0)</f>
        <v>2524</v>
      </c>
      <c r="F126" s="151">
        <f>ROUND(((AF88*(AA97/9))+(AG88*(AA105/9))+(AH88*(AA113/9))+(AF89*AS97)+(AG89*AS105)*1),0)</f>
        <v>2524</v>
      </c>
      <c r="G126" s="151">
        <f>ROUND(((AF88*(AB97/9))+(AG88*(AB105/9))+(AH88*(AB113/9))+(AF89*AT97)+(AG89*AT105)*1),0)</f>
        <v>2530</v>
      </c>
      <c r="H126" s="151">
        <f>ROUND(((AF88*(AC97/9))+(AG88*(AC105/9))+(AH88*(AC113/9))+(AF89*AU97)+(AG89*AU105)*1),0)</f>
        <v>2541</v>
      </c>
      <c r="I126" s="151">
        <f>ROUND(((AF88*(AD97/9))+(AG88*(AD105/9))+(AH88*(AD113/9))+(AF89*AV97)+(AG89*AV105)*1),0)</f>
        <v>2552</v>
      </c>
      <c r="J126" s="151">
        <f>ROUND(((AF88*(AE97/9))+(AG88*(AE105/9))+(AH88*(AE113/9))+(AF89*AW97)+(AG89*AW105)*1),0)</f>
        <v>2563</v>
      </c>
      <c r="K126" s="151">
        <f>ROUND(((AF88*(AF97/9))+(AG88*(AF105/9))+(AH88*(AF113/9))+(AF89*AX97)+(AG89*AX105)*1),0)</f>
        <v>2575</v>
      </c>
      <c r="L126" s="151">
        <f>ROUND(((AF88*(AG97/9))+(AG88*(AG105/9))+(AH88*(AG113/9))+(AF89*AY97)+(AG89*AY105)*1),0)</f>
        <v>2586</v>
      </c>
      <c r="M126" s="151">
        <f>ROUND(((AF88*(AH97/9))+(AG88*(AH105/9))+(AH88*(AH113/9))+(AF89*AZ97)+(AG89*AZ105)*1),0)</f>
        <v>2597</v>
      </c>
      <c r="N126" s="151">
        <f>ROUND(((AF88*(AI97/9))+(AG88*(AI105/9))+(AH88*(AI113/9))+(AF89*BA97)+(AG89*BA105)*1),0)</f>
        <v>2608</v>
      </c>
      <c r="O126" s="151">
        <f>ROUND(((AF88*(AJ97/9))+(AG88*(AJ105/9))+(AH88*(AJ113/9))+(AF89*BB97)+(AG89*BB105)*1),0)</f>
        <v>2619</v>
      </c>
      <c r="P126" s="151">
        <f>ROUND(((AF88*(AK97/9))+(AG88*(AK105/9))+(AH88*(AK113/9))+(AF89*BC97)+(AG89*BC105)*1),0)</f>
        <v>2625</v>
      </c>
      <c r="Q126" s="151">
        <f>ROUND(((AF88*(AL97/9))+(AG88*(AL105/9))+(AH88*(AL113/9))+(AF89*BD97)+(AG89*BD105)*1),0)</f>
        <v>2625</v>
      </c>
      <c r="R126" s="151">
        <f>ROUND(((AF88*(AM97/9))+(AG88*(AM105/9))+(AH88*(AM113/9))+(AF89*BE97)+(AG89*BE105)*1),0)</f>
        <v>2625</v>
      </c>
    </row>
  </sheetData>
  <sheetProtection algorithmName="SHA-512" hashValue="o/Xucj8YnrKzF5QOrMlFtllLjcLUwqT/DB5y74qFgcJDpXQcMS1HStYFdkFPEensRdlaAKEZ+0Ko4UmZMt9eXg==" saltValue="Gt+1aRHBIAM3/6suOWkwBA==" spinCount="100000" sheet="1" objects="1" scenarios="1"/>
  <mergeCells count="2">
    <mergeCell ref="Y85:Z85"/>
    <mergeCell ref="AC85:AD85"/>
  </mergeCells>
  <pageMargins left="0.25" right="0.25" top="0.75" bottom="0.75" header="0.3" footer="0.3"/>
  <pageSetup scale="55"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pageSetUpPr fitToPage="1"/>
  </sheetPr>
  <dimension ref="A1:X226"/>
  <sheetViews>
    <sheetView tabSelected="1" zoomScale="90" zoomScaleNormal="90" workbookViewId="0">
      <pane ySplit="2" topLeftCell="A3" activePane="bottomLeft" state="frozen"/>
      <selection activeCell="F33" sqref="F33"/>
      <selection pane="bottomLeft" activeCell="A2" sqref="A2"/>
    </sheetView>
  </sheetViews>
  <sheetFormatPr defaultRowHeight="12.75" customHeight="1"/>
  <cols>
    <col min="1" max="1" width="27.28515625" style="554" customWidth="1"/>
    <col min="2" max="2" width="9.5703125" style="554" customWidth="1"/>
    <col min="3" max="3" width="8.28515625" style="554" customWidth="1"/>
    <col min="4" max="4" width="5.28515625" style="554" customWidth="1"/>
    <col min="5" max="5" width="8.28515625" style="554" customWidth="1"/>
    <col min="6" max="6" width="8.5703125" style="554" customWidth="1"/>
    <col min="7" max="7" width="14.140625" style="556" customWidth="1"/>
    <col min="8" max="14" width="16.5703125" style="557" customWidth="1"/>
    <col min="15" max="15" width="13.42578125" style="554" customWidth="1"/>
    <col min="16" max="16" width="18" style="546" customWidth="1"/>
    <col min="17" max="20" width="17.42578125" style="546" customWidth="1"/>
    <col min="21" max="22" width="9.140625" style="546"/>
    <col min="23" max="16384" width="9.140625" style="554"/>
  </cols>
  <sheetData>
    <row r="1" spans="1:22" s="551" customFormat="1" ht="12.75" customHeight="1">
      <c r="A1" s="551" t="s">
        <v>681</v>
      </c>
      <c r="G1" s="550"/>
      <c r="H1" s="549"/>
      <c r="I1" s="549"/>
      <c r="J1" s="549"/>
      <c r="K1" s="549"/>
      <c r="L1" s="549"/>
      <c r="M1" s="549"/>
      <c r="N1" s="548"/>
      <c r="O1" s="611"/>
      <c r="P1" s="546"/>
      <c r="Q1" s="546"/>
      <c r="R1" s="546"/>
      <c r="S1" s="546"/>
      <c r="T1" s="546"/>
      <c r="U1" s="546"/>
      <c r="V1" s="546"/>
    </row>
    <row r="2" spans="1:22" s="615" customFormat="1" ht="12.75" customHeight="1" thickBot="1">
      <c r="A2" s="612" t="s">
        <v>583</v>
      </c>
      <c r="B2" s="610"/>
      <c r="C2" s="613"/>
      <c r="D2" s="613"/>
      <c r="E2" s="613"/>
      <c r="F2" s="613"/>
      <c r="G2" s="614"/>
      <c r="H2" s="764" t="s">
        <v>550</v>
      </c>
      <c r="I2" s="765" t="s">
        <v>551</v>
      </c>
      <c r="J2" s="764" t="s">
        <v>552</v>
      </c>
      <c r="K2" s="765" t="s">
        <v>553</v>
      </c>
      <c r="L2" s="764" t="s">
        <v>554</v>
      </c>
      <c r="M2" s="765" t="s">
        <v>555</v>
      </c>
      <c r="N2" s="766" t="s">
        <v>339</v>
      </c>
      <c r="P2" s="546" t="s">
        <v>736</v>
      </c>
      <c r="Q2" s="546"/>
      <c r="R2" s="546"/>
      <c r="S2" s="546"/>
      <c r="T2" s="546"/>
      <c r="U2" s="546"/>
      <c r="V2" s="546"/>
    </row>
    <row r="3" spans="1:22" s="615" customFormat="1" ht="12.75" customHeight="1">
      <c r="A3" s="547"/>
      <c r="B3" s="1420"/>
      <c r="C3" s="1420"/>
      <c r="D3" s="1420"/>
      <c r="E3" s="1420"/>
      <c r="F3" s="1420"/>
      <c r="G3" s="550"/>
      <c r="H3" s="775"/>
      <c r="I3" s="776"/>
      <c r="J3" s="775"/>
      <c r="K3" s="776"/>
      <c r="L3" s="775"/>
      <c r="M3" s="776"/>
      <c r="N3" s="803"/>
      <c r="O3" s="951"/>
      <c r="P3" s="1240" t="s">
        <v>738</v>
      </c>
      <c r="Q3" s="1231"/>
      <c r="R3" s="1232"/>
      <c r="S3" s="546"/>
      <c r="T3" s="546"/>
      <c r="U3" s="546"/>
      <c r="V3" s="546"/>
    </row>
    <row r="4" spans="1:22" s="615" customFormat="1" ht="12.75" customHeight="1">
      <c r="A4" s="616" t="s">
        <v>581</v>
      </c>
      <c r="G4" s="550"/>
      <c r="H4" s="777"/>
      <c r="I4" s="778"/>
      <c r="J4" s="777"/>
      <c r="K4" s="778"/>
      <c r="L4" s="777"/>
      <c r="M4" s="778"/>
      <c r="N4" s="818"/>
      <c r="P4" s="1241" t="s">
        <v>733</v>
      </c>
      <c r="Q4" s="1233"/>
      <c r="R4" s="1234"/>
      <c r="S4" s="546"/>
      <c r="T4" s="546"/>
      <c r="U4" s="546"/>
      <c r="V4" s="546"/>
    </row>
    <row r="5" spans="1:22" ht="12.75" customHeight="1" thickBot="1">
      <c r="A5" s="758" t="s">
        <v>613</v>
      </c>
      <c r="B5" s="759" t="s">
        <v>45</v>
      </c>
      <c r="C5" s="759" t="s">
        <v>46</v>
      </c>
      <c r="D5" s="759"/>
      <c r="E5" s="759" t="s">
        <v>37</v>
      </c>
      <c r="F5" s="760"/>
      <c r="G5" s="761"/>
      <c r="H5" s="762"/>
      <c r="I5" s="762"/>
      <c r="J5" s="762"/>
      <c r="K5" s="762"/>
      <c r="L5" s="762"/>
      <c r="M5" s="762"/>
      <c r="N5" s="763"/>
      <c r="O5" s="557"/>
      <c r="P5" s="1241" t="s">
        <v>734</v>
      </c>
      <c r="Q5" s="1233"/>
      <c r="R5" s="1234"/>
    </row>
    <row r="6" spans="1:22" ht="12.75" customHeight="1" thickBot="1">
      <c r="A6" s="553" t="s">
        <v>338</v>
      </c>
      <c r="B6" s="617">
        <v>0</v>
      </c>
      <c r="C6" s="618">
        <v>0</v>
      </c>
      <c r="D6" s="618"/>
      <c r="E6" s="619">
        <v>0</v>
      </c>
      <c r="F6" s="620"/>
      <c r="G6" s="621" t="s">
        <v>3</v>
      </c>
      <c r="H6" s="622">
        <f>ROUND(B6*C6*E6,0)</f>
        <v>0</v>
      </c>
      <c r="I6" s="623">
        <f>ROUND(H6*1.04,0)</f>
        <v>0</v>
      </c>
      <c r="J6" s="622">
        <f>ROUND(I6*1.04,0)</f>
        <v>0</v>
      </c>
      <c r="K6" s="624">
        <f>ROUND(J6*1.04,0)</f>
        <v>0</v>
      </c>
      <c r="L6" s="622">
        <f>ROUND(K6*1.04,0)</f>
        <v>0</v>
      </c>
      <c r="M6" s="624">
        <f>ROUND(L6*1.04,0)</f>
        <v>0</v>
      </c>
      <c r="N6" s="945">
        <f>SUM(H6:M6)</f>
        <v>0</v>
      </c>
      <c r="O6" s="557"/>
      <c r="P6" s="1242" t="s">
        <v>742</v>
      </c>
      <c r="Q6" s="1243"/>
      <c r="R6" s="1244"/>
    </row>
    <row r="7" spans="1:22" ht="12.75" customHeight="1">
      <c r="A7" s="1236"/>
      <c r="B7" s="627"/>
      <c r="C7" s="628"/>
      <c r="D7" s="628"/>
      <c r="E7" s="629"/>
      <c r="F7" s="630" t="s">
        <v>11</v>
      </c>
      <c r="G7" s="631">
        <v>0.31228387518459322</v>
      </c>
      <c r="H7" s="945">
        <f t="shared" ref="H7:M7" si="0">ROUND(H6*$G7,0)</f>
        <v>0</v>
      </c>
      <c r="I7" s="624">
        <f t="shared" si="0"/>
        <v>0</v>
      </c>
      <c r="J7" s="945">
        <f t="shared" si="0"/>
        <v>0</v>
      </c>
      <c r="K7" s="624">
        <f t="shared" si="0"/>
        <v>0</v>
      </c>
      <c r="L7" s="945">
        <f t="shared" si="0"/>
        <v>0</v>
      </c>
      <c r="M7" s="624">
        <f t="shared" si="0"/>
        <v>0</v>
      </c>
      <c r="N7" s="945">
        <f t="shared" ref="N7:N27" si="1">SUM(H7:M7)</f>
        <v>0</v>
      </c>
      <c r="O7" s="557"/>
    </row>
    <row r="8" spans="1:22" ht="12.75" customHeight="1" thickBot="1">
      <c r="A8" s="553" t="s">
        <v>338</v>
      </c>
      <c r="B8" s="617">
        <v>0</v>
      </c>
      <c r="C8" s="618">
        <v>0</v>
      </c>
      <c r="D8" s="618"/>
      <c r="E8" s="619">
        <v>0</v>
      </c>
      <c r="F8" s="620"/>
      <c r="G8" s="621" t="s">
        <v>3</v>
      </c>
      <c r="H8" s="945">
        <f>ROUND(B8*C8*E8,0)</f>
        <v>0</v>
      </c>
      <c r="I8" s="624">
        <f>ROUND(H8*1.04,0)</f>
        <v>0</v>
      </c>
      <c r="J8" s="646">
        <f>ROUND(I8*1.04,0)</f>
        <v>0</v>
      </c>
      <c r="K8" s="646">
        <f>ROUND(J8*1.04,0)</f>
        <v>0</v>
      </c>
      <c r="L8" s="646">
        <f>ROUND(K8*1.04,0)</f>
        <v>0</v>
      </c>
      <c r="M8" s="945">
        <f>ROUND(L8*1.04,0)</f>
        <v>0</v>
      </c>
      <c r="N8" s="945">
        <f t="shared" si="1"/>
        <v>0</v>
      </c>
      <c r="O8" s="557"/>
    </row>
    <row r="9" spans="1:22" ht="12.75" customHeight="1" thickBot="1">
      <c r="A9" s="626"/>
      <c r="B9" s="627"/>
      <c r="C9" s="628"/>
      <c r="D9" s="628"/>
      <c r="E9" s="629"/>
      <c r="F9" s="630" t="s">
        <v>4</v>
      </c>
      <c r="G9" s="631">
        <v>0.31228387518459322</v>
      </c>
      <c r="H9" s="945">
        <f t="shared" ref="H9:M9" si="2">ROUND(H8*$G9,0)</f>
        <v>0</v>
      </c>
      <c r="I9" s="624">
        <f t="shared" si="2"/>
        <v>0</v>
      </c>
      <c r="J9" s="945">
        <f t="shared" si="2"/>
        <v>0</v>
      </c>
      <c r="K9" s="624">
        <f t="shared" si="2"/>
        <v>0</v>
      </c>
      <c r="L9" s="945">
        <f t="shared" si="2"/>
        <v>0</v>
      </c>
      <c r="M9" s="945">
        <f t="shared" si="2"/>
        <v>0</v>
      </c>
      <c r="N9" s="945">
        <f t="shared" si="1"/>
        <v>0</v>
      </c>
      <c r="O9" s="557"/>
      <c r="P9" s="1235" t="s">
        <v>735</v>
      </c>
    </row>
    <row r="10" spans="1:22" ht="12.75" customHeight="1" thickBot="1">
      <c r="A10" s="632" t="s">
        <v>104</v>
      </c>
      <c r="B10" s="633">
        <v>0</v>
      </c>
      <c r="C10" s="634">
        <v>0</v>
      </c>
      <c r="D10" s="634"/>
      <c r="E10" s="635">
        <v>0</v>
      </c>
      <c r="F10" s="636"/>
      <c r="G10" s="637" t="s">
        <v>3</v>
      </c>
      <c r="H10" s="945">
        <f>ROUND(B10*C10*E10,0)</f>
        <v>0</v>
      </c>
      <c r="I10" s="624">
        <f>ROUND(H10*1.04,0)</f>
        <v>0</v>
      </c>
      <c r="J10" s="945">
        <f>ROUND(I10*1.04,0)</f>
        <v>0</v>
      </c>
      <c r="K10" s="624">
        <f>ROUND(J10*1.04,0)</f>
        <v>0</v>
      </c>
      <c r="L10" s="945">
        <f>ROUND(K10*1.04,0)</f>
        <v>0</v>
      </c>
      <c r="M10" s="624">
        <f>ROUND(L10*1.04,0)</f>
        <v>0</v>
      </c>
      <c r="N10" s="945">
        <f t="shared" si="1"/>
        <v>0</v>
      </c>
      <c r="O10" s="557"/>
      <c r="P10" s="1237" t="s">
        <v>737</v>
      </c>
      <c r="Q10" s="1229"/>
      <c r="R10" s="1229"/>
      <c r="S10" s="1229"/>
      <c r="T10" s="1230"/>
    </row>
    <row r="11" spans="1:22" ht="12.75" customHeight="1" thickBot="1">
      <c r="A11" s="638"/>
      <c r="B11" s="627"/>
      <c r="C11" s="628"/>
      <c r="D11" s="628"/>
      <c r="E11" s="629"/>
      <c r="F11" s="630" t="s">
        <v>4</v>
      </c>
      <c r="G11" s="631">
        <v>0.31228387518459322</v>
      </c>
      <c r="H11" s="945">
        <f t="shared" ref="H11:M11" si="3">ROUND(H10*$G11,0)</f>
        <v>0</v>
      </c>
      <c r="I11" s="624">
        <f t="shared" si="3"/>
        <v>0</v>
      </c>
      <c r="J11" s="945">
        <f t="shared" si="3"/>
        <v>0</v>
      </c>
      <c r="K11" s="624">
        <f t="shared" si="3"/>
        <v>0</v>
      </c>
      <c r="L11" s="945">
        <f t="shared" si="3"/>
        <v>0</v>
      </c>
      <c r="M11" s="624">
        <f t="shared" si="3"/>
        <v>0</v>
      </c>
      <c r="N11" s="945">
        <f t="shared" si="1"/>
        <v>0</v>
      </c>
      <c r="O11" s="557"/>
    </row>
    <row r="12" spans="1:22" ht="12.75" customHeight="1">
      <c r="A12" s="553" t="s">
        <v>104</v>
      </c>
      <c r="B12" s="617">
        <v>0</v>
      </c>
      <c r="C12" s="618">
        <v>0</v>
      </c>
      <c r="D12" s="618"/>
      <c r="E12" s="619">
        <v>0</v>
      </c>
      <c r="F12" s="620"/>
      <c r="G12" s="621" t="s">
        <v>3</v>
      </c>
      <c r="H12" s="945">
        <f>ROUND(B12*C12*E12,0)</f>
        <v>0</v>
      </c>
      <c r="I12" s="624">
        <f>ROUND(H12*1.04,0)</f>
        <v>0</v>
      </c>
      <c r="J12" s="945">
        <f>ROUND(I12*1.04,0)</f>
        <v>0</v>
      </c>
      <c r="K12" s="624">
        <f>ROUND(J12*1.04,0)</f>
        <v>0</v>
      </c>
      <c r="L12" s="945">
        <f>ROUND(K12*1.04,0)</f>
        <v>0</v>
      </c>
      <c r="M12" s="624">
        <f>ROUND(L12*1.04,0)</f>
        <v>0</v>
      </c>
      <c r="N12" s="945">
        <f t="shared" si="1"/>
        <v>0</v>
      </c>
      <c r="O12" s="557"/>
      <c r="P12" s="1297" t="s">
        <v>757</v>
      </c>
      <c r="Q12" s="1298"/>
      <c r="R12" s="1298"/>
      <c r="S12" s="1298"/>
      <c r="T12" s="1299"/>
    </row>
    <row r="13" spans="1:22" ht="12.75" customHeight="1" thickBot="1">
      <c r="A13" s="638"/>
      <c r="B13" s="627"/>
      <c r="C13" s="628"/>
      <c r="D13" s="628"/>
      <c r="E13" s="629"/>
      <c r="F13" s="630" t="s">
        <v>4</v>
      </c>
      <c r="G13" s="631">
        <v>0.31228387518459322</v>
      </c>
      <c r="H13" s="945">
        <f t="shared" ref="H13:M13" si="4">ROUND(H12*$G13,0)</f>
        <v>0</v>
      </c>
      <c r="I13" s="624">
        <f t="shared" si="4"/>
        <v>0</v>
      </c>
      <c r="J13" s="945">
        <f t="shared" si="4"/>
        <v>0</v>
      </c>
      <c r="K13" s="624">
        <f t="shared" si="4"/>
        <v>0</v>
      </c>
      <c r="L13" s="945">
        <f t="shared" si="4"/>
        <v>0</v>
      </c>
      <c r="M13" s="624">
        <f t="shared" si="4"/>
        <v>0</v>
      </c>
      <c r="N13" s="945">
        <f t="shared" si="1"/>
        <v>0</v>
      </c>
      <c r="O13" s="557"/>
      <c r="P13" s="1300" t="s">
        <v>756</v>
      </c>
      <c r="Q13" s="1301"/>
      <c r="R13" s="1301"/>
      <c r="S13" s="1301"/>
      <c r="T13" s="1244"/>
    </row>
    <row r="14" spans="1:22" ht="12.75" customHeight="1">
      <c r="A14" s="553" t="s">
        <v>104</v>
      </c>
      <c r="B14" s="617">
        <v>0</v>
      </c>
      <c r="C14" s="618">
        <v>0</v>
      </c>
      <c r="D14" s="618"/>
      <c r="E14" s="619">
        <v>0</v>
      </c>
      <c r="F14" s="620"/>
      <c r="G14" s="621" t="s">
        <v>3</v>
      </c>
      <c r="H14" s="945">
        <f>ROUND(B14*C14*E14,0)</f>
        <v>0</v>
      </c>
      <c r="I14" s="624">
        <f>ROUND(H14*1.04,0)</f>
        <v>0</v>
      </c>
      <c r="J14" s="945">
        <f>ROUND(I14*1.04,0)</f>
        <v>0</v>
      </c>
      <c r="K14" s="624">
        <f>ROUND(J14*1.04,0)</f>
        <v>0</v>
      </c>
      <c r="L14" s="945">
        <f>ROUND(K14*1.04,0)</f>
        <v>0</v>
      </c>
      <c r="M14" s="624">
        <f>ROUND(L14*1.04,0)</f>
        <v>0</v>
      </c>
      <c r="N14" s="945">
        <f t="shared" si="1"/>
        <v>0</v>
      </c>
    </row>
    <row r="15" spans="1:22" ht="12.75" customHeight="1">
      <c r="A15" s="638"/>
      <c r="B15" s="627"/>
      <c r="C15" s="628"/>
      <c r="D15" s="628"/>
      <c r="E15" s="629"/>
      <c r="F15" s="630" t="s">
        <v>4</v>
      </c>
      <c r="G15" s="631">
        <v>0.31228387518459322</v>
      </c>
      <c r="H15" s="945">
        <f t="shared" ref="H15:M15" si="5">ROUND(H14*$G15,0)</f>
        <v>0</v>
      </c>
      <c r="I15" s="945">
        <f t="shared" si="5"/>
        <v>0</v>
      </c>
      <c r="J15" s="945">
        <f t="shared" si="5"/>
        <v>0</v>
      </c>
      <c r="K15" s="945">
        <f t="shared" si="5"/>
        <v>0</v>
      </c>
      <c r="L15" s="945">
        <f t="shared" si="5"/>
        <v>0</v>
      </c>
      <c r="M15" s="945">
        <f t="shared" si="5"/>
        <v>0</v>
      </c>
      <c r="N15" s="945">
        <f t="shared" si="1"/>
        <v>0</v>
      </c>
      <c r="O15" s="557"/>
      <c r="Q15" s="546" t="s">
        <v>143</v>
      </c>
    </row>
    <row r="16" spans="1:22" ht="12.75" customHeight="1">
      <c r="A16" s="553" t="s">
        <v>106</v>
      </c>
      <c r="B16" s="617">
        <v>0</v>
      </c>
      <c r="C16" s="618">
        <v>0</v>
      </c>
      <c r="D16" s="618"/>
      <c r="E16" s="619">
        <v>0</v>
      </c>
      <c r="F16" s="620"/>
      <c r="G16" s="621" t="s">
        <v>3</v>
      </c>
      <c r="H16" s="945">
        <f>ROUND(B16*C16*E16,0)</f>
        <v>0</v>
      </c>
      <c r="I16" s="624">
        <f>ROUND(H16*1.04,0)</f>
        <v>0</v>
      </c>
      <c r="J16" s="646">
        <f>ROUND(I16*1.04,0)</f>
        <v>0</v>
      </c>
      <c r="K16" s="646">
        <f>ROUND(J16*1.04,0)</f>
        <v>0</v>
      </c>
      <c r="L16" s="646">
        <f>ROUND(K16*1.04,0)</f>
        <v>0</v>
      </c>
      <c r="M16" s="945">
        <f>ROUND(L16*1.04,0)</f>
        <v>0</v>
      </c>
      <c r="N16" s="945">
        <f t="shared" si="1"/>
        <v>0</v>
      </c>
      <c r="O16" s="557"/>
    </row>
    <row r="17" spans="1:22" ht="12.75" customHeight="1">
      <c r="A17" s="638"/>
      <c r="B17" s="627"/>
      <c r="C17" s="628"/>
      <c r="D17" s="628"/>
      <c r="E17" s="629"/>
      <c r="F17" s="630" t="s">
        <v>4</v>
      </c>
      <c r="G17" s="631">
        <v>0.35175650886738824</v>
      </c>
      <c r="H17" s="945">
        <f t="shared" ref="H17:M17" si="6">ROUND(H16*$G17,0)</f>
        <v>0</v>
      </c>
      <c r="I17" s="624">
        <f t="shared" si="6"/>
        <v>0</v>
      </c>
      <c r="J17" s="945">
        <f t="shared" si="6"/>
        <v>0</v>
      </c>
      <c r="K17" s="624">
        <f t="shared" si="6"/>
        <v>0</v>
      </c>
      <c r="L17" s="945">
        <f t="shared" si="6"/>
        <v>0</v>
      </c>
      <c r="M17" s="624">
        <f t="shared" si="6"/>
        <v>0</v>
      </c>
      <c r="N17" s="945">
        <f t="shared" si="1"/>
        <v>0</v>
      </c>
      <c r="O17" s="557"/>
      <c r="P17" s="554"/>
      <c r="Q17" s="554"/>
      <c r="R17" s="554"/>
      <c r="S17" s="554"/>
      <c r="T17" s="554"/>
      <c r="U17" s="554"/>
      <c r="V17" s="554"/>
    </row>
    <row r="18" spans="1:22" ht="12.75" customHeight="1">
      <c r="A18" s="632" t="s">
        <v>727</v>
      </c>
      <c r="B18" s="633">
        <v>0</v>
      </c>
      <c r="C18" s="634">
        <v>0</v>
      </c>
      <c r="D18" s="634"/>
      <c r="E18" s="635">
        <v>0</v>
      </c>
      <c r="F18" s="636"/>
      <c r="G18" s="637" t="s">
        <v>3</v>
      </c>
      <c r="H18" s="945">
        <f>ROUND(B18*C18*E18,0)</f>
        <v>0</v>
      </c>
      <c r="I18" s="624">
        <f>ROUND(H18*1.04,0)</f>
        <v>0</v>
      </c>
      <c r="J18" s="945">
        <f>ROUND(I18*1.04,0)</f>
        <v>0</v>
      </c>
      <c r="K18" s="624">
        <f>ROUND(J18*1.04,0)</f>
        <v>0</v>
      </c>
      <c r="L18" s="945">
        <f>ROUND(K18*1.04,0)</f>
        <v>0</v>
      </c>
      <c r="M18" s="624">
        <f>ROUND(L18*1.04,0)</f>
        <v>0</v>
      </c>
      <c r="N18" s="945">
        <f t="shared" si="1"/>
        <v>0</v>
      </c>
      <c r="O18" s="557"/>
      <c r="P18" s="554"/>
      <c r="Q18" s="554"/>
      <c r="R18" s="554"/>
      <c r="S18" s="554"/>
      <c r="T18" s="554"/>
      <c r="U18" s="554"/>
      <c r="V18" s="554"/>
    </row>
    <row r="19" spans="1:22" ht="12.75" customHeight="1">
      <c r="A19" s="638"/>
      <c r="B19" s="639"/>
      <c r="C19" s="640"/>
      <c r="D19" s="640"/>
      <c r="E19" s="641"/>
      <c r="F19" s="630" t="s">
        <v>4</v>
      </c>
      <c r="G19" s="631">
        <v>0.42515173030422782</v>
      </c>
      <c r="H19" s="945">
        <f t="shared" ref="H19:M19" si="7">ROUND(H18*$G19,0)</f>
        <v>0</v>
      </c>
      <c r="I19" s="624">
        <f t="shared" si="7"/>
        <v>0</v>
      </c>
      <c r="J19" s="945">
        <f t="shared" si="7"/>
        <v>0</v>
      </c>
      <c r="K19" s="624">
        <f t="shared" si="7"/>
        <v>0</v>
      </c>
      <c r="L19" s="945">
        <f t="shared" si="7"/>
        <v>0</v>
      </c>
      <c r="M19" s="624">
        <f t="shared" si="7"/>
        <v>0</v>
      </c>
      <c r="N19" s="945">
        <f t="shared" si="1"/>
        <v>0</v>
      </c>
      <c r="O19" s="557"/>
      <c r="P19" s="554"/>
      <c r="Q19" s="554"/>
      <c r="R19" s="554"/>
      <c r="S19" s="554"/>
      <c r="T19" s="554"/>
      <c r="U19" s="554"/>
      <c r="V19" s="554"/>
    </row>
    <row r="20" spans="1:22" ht="12.75" customHeight="1">
      <c r="A20" s="553" t="s">
        <v>556</v>
      </c>
      <c r="B20" s="642"/>
      <c r="C20" s="643"/>
      <c r="D20" s="643"/>
      <c r="E20" s="644" t="s">
        <v>143</v>
      </c>
      <c r="G20" s="621" t="s">
        <v>3</v>
      </c>
      <c r="H20" s="945">
        <v>0</v>
      </c>
      <c r="I20" s="624">
        <f t="shared" ref="I20:M22" si="8">ROUND(H20*1.04,0)</f>
        <v>0</v>
      </c>
      <c r="J20" s="945">
        <f t="shared" si="8"/>
        <v>0</v>
      </c>
      <c r="K20" s="624">
        <f t="shared" si="8"/>
        <v>0</v>
      </c>
      <c r="L20" s="945">
        <f t="shared" si="8"/>
        <v>0</v>
      </c>
      <c r="M20" s="624">
        <f t="shared" si="8"/>
        <v>0</v>
      </c>
      <c r="N20" s="945">
        <f t="shared" si="1"/>
        <v>0</v>
      </c>
      <c r="O20" s="557"/>
      <c r="P20" s="554"/>
      <c r="Q20" s="554"/>
      <c r="R20" s="554"/>
      <c r="S20" s="554"/>
      <c r="T20" s="554"/>
      <c r="U20" s="554"/>
      <c r="V20" s="554"/>
    </row>
    <row r="21" spans="1:22" ht="12.75" customHeight="1">
      <c r="A21" s="756" t="s">
        <v>686</v>
      </c>
      <c r="B21" s="757"/>
      <c r="C21" s="650"/>
      <c r="D21" s="650"/>
      <c r="E21" s="641"/>
      <c r="G21" s="645" t="s">
        <v>5</v>
      </c>
      <c r="H21" s="945"/>
      <c r="I21" s="624">
        <f t="shared" si="8"/>
        <v>0</v>
      </c>
      <c r="J21" s="945">
        <f t="shared" si="8"/>
        <v>0</v>
      </c>
      <c r="K21" s="624">
        <f t="shared" si="8"/>
        <v>0</v>
      </c>
      <c r="L21" s="945">
        <f t="shared" si="8"/>
        <v>0</v>
      </c>
      <c r="M21" s="624">
        <f t="shared" si="8"/>
        <v>0</v>
      </c>
      <c r="N21" s="945">
        <f t="shared" si="1"/>
        <v>0</v>
      </c>
      <c r="O21" s="557"/>
      <c r="P21" s="554"/>
      <c r="Q21" s="554"/>
      <c r="R21" s="554"/>
      <c r="S21" s="554"/>
      <c r="T21" s="554"/>
      <c r="U21" s="554"/>
      <c r="V21" s="554"/>
    </row>
    <row r="22" spans="1:22" ht="12.75" customHeight="1">
      <c r="A22" s="1179"/>
      <c r="B22" s="1172"/>
      <c r="C22" s="1173"/>
      <c r="D22" s="1173"/>
      <c r="E22" s="1174"/>
      <c r="F22" s="1175"/>
      <c r="G22" s="1176"/>
      <c r="H22" s="1177">
        <v>0</v>
      </c>
      <c r="I22" s="1178">
        <f t="shared" si="8"/>
        <v>0</v>
      </c>
      <c r="J22" s="1177">
        <f t="shared" si="8"/>
        <v>0</v>
      </c>
      <c r="K22" s="1178">
        <f t="shared" si="8"/>
        <v>0</v>
      </c>
      <c r="L22" s="1177">
        <f t="shared" si="8"/>
        <v>0</v>
      </c>
      <c r="M22" s="1178">
        <f t="shared" si="8"/>
        <v>0</v>
      </c>
      <c r="N22" s="1177">
        <f t="shared" si="1"/>
        <v>0</v>
      </c>
      <c r="O22" s="557"/>
      <c r="P22" s="554"/>
      <c r="Q22" s="1040"/>
      <c r="R22" s="554"/>
      <c r="S22" s="554"/>
      <c r="T22" s="554"/>
      <c r="U22" s="554"/>
      <c r="V22" s="554"/>
    </row>
    <row r="23" spans="1:22" ht="12.75" customHeight="1">
      <c r="A23" s="648"/>
      <c r="B23" s="649"/>
      <c r="C23" s="650"/>
      <c r="D23" s="650"/>
      <c r="E23" s="641"/>
      <c r="F23" s="651" t="s">
        <v>11</v>
      </c>
      <c r="G23" s="652">
        <v>0.153711544903991</v>
      </c>
      <c r="H23" s="945">
        <f t="shared" ref="H23:M23" si="9">ROUND(H20*$G$23,0)</f>
        <v>0</v>
      </c>
      <c r="I23" s="624">
        <f t="shared" si="9"/>
        <v>0</v>
      </c>
      <c r="J23" s="945">
        <f t="shared" si="9"/>
        <v>0</v>
      </c>
      <c r="K23" s="624">
        <f t="shared" si="9"/>
        <v>0</v>
      </c>
      <c r="L23" s="945">
        <f t="shared" si="9"/>
        <v>0</v>
      </c>
      <c r="M23" s="624">
        <f t="shared" si="9"/>
        <v>0</v>
      </c>
      <c r="N23" s="945">
        <f t="shared" si="1"/>
        <v>0</v>
      </c>
      <c r="O23" s="557"/>
      <c r="P23" s="554"/>
      <c r="Q23" s="1040"/>
      <c r="R23" s="554"/>
      <c r="S23" s="554"/>
      <c r="T23" s="554"/>
      <c r="U23" s="554"/>
      <c r="V23" s="554"/>
    </row>
    <row r="24" spans="1:22" ht="12.75" customHeight="1">
      <c r="A24" s="653" t="s">
        <v>557</v>
      </c>
      <c r="B24" s="642"/>
      <c r="C24" s="643"/>
      <c r="D24" s="643"/>
      <c r="E24" s="644" t="s">
        <v>143</v>
      </c>
      <c r="F24" s="654"/>
      <c r="G24" s="655" t="s">
        <v>3</v>
      </c>
      <c r="H24" s="945">
        <v>0</v>
      </c>
      <c r="I24" s="624">
        <f t="shared" ref="I24:M26" si="10">ROUND(H24*1.04,0)</f>
        <v>0</v>
      </c>
      <c r="J24" s="945">
        <f t="shared" si="10"/>
        <v>0</v>
      </c>
      <c r="K24" s="624">
        <f t="shared" si="10"/>
        <v>0</v>
      </c>
      <c r="L24" s="945">
        <f t="shared" si="10"/>
        <v>0</v>
      </c>
      <c r="M24" s="624">
        <f t="shared" si="10"/>
        <v>0</v>
      </c>
      <c r="N24" s="945">
        <f t="shared" si="1"/>
        <v>0</v>
      </c>
      <c r="O24" s="557"/>
      <c r="P24" s="554"/>
      <c r="Q24" s="1040"/>
      <c r="R24" s="554"/>
      <c r="S24" s="554"/>
      <c r="T24" s="554"/>
      <c r="U24" s="554"/>
      <c r="V24" s="554"/>
    </row>
    <row r="25" spans="1:22" ht="12.75" customHeight="1">
      <c r="A25" s="756" t="s">
        <v>686</v>
      </c>
      <c r="B25" s="757"/>
      <c r="C25" s="650"/>
      <c r="D25" s="650"/>
      <c r="E25" s="641"/>
      <c r="G25" s="645" t="s">
        <v>5</v>
      </c>
      <c r="H25" s="945">
        <v>0</v>
      </c>
      <c r="I25" s="624">
        <f t="shared" si="10"/>
        <v>0</v>
      </c>
      <c r="J25" s="945">
        <f t="shared" si="10"/>
        <v>0</v>
      </c>
      <c r="K25" s="624">
        <f t="shared" si="10"/>
        <v>0</v>
      </c>
      <c r="L25" s="945">
        <f t="shared" si="10"/>
        <v>0</v>
      </c>
      <c r="M25" s="624">
        <f t="shared" si="10"/>
        <v>0</v>
      </c>
      <c r="N25" s="945">
        <f t="shared" si="1"/>
        <v>0</v>
      </c>
      <c r="O25" s="557"/>
      <c r="P25" s="554"/>
      <c r="Q25" s="1040"/>
      <c r="R25" s="554"/>
      <c r="S25" s="554"/>
      <c r="T25" s="554"/>
      <c r="U25" s="554"/>
      <c r="V25" s="554"/>
    </row>
    <row r="26" spans="1:22" ht="12.75" customHeight="1">
      <c r="A26" s="1171"/>
      <c r="B26" s="1172"/>
      <c r="C26" s="1173"/>
      <c r="D26" s="1173"/>
      <c r="E26" s="1174"/>
      <c r="F26" s="1175"/>
      <c r="G26" s="1176"/>
      <c r="H26" s="1177">
        <v>0</v>
      </c>
      <c r="I26" s="1178">
        <f t="shared" si="10"/>
        <v>0</v>
      </c>
      <c r="J26" s="1177">
        <f t="shared" si="10"/>
        <v>0</v>
      </c>
      <c r="K26" s="1178">
        <f t="shared" si="10"/>
        <v>0</v>
      </c>
      <c r="L26" s="1177">
        <f t="shared" si="10"/>
        <v>0</v>
      </c>
      <c r="M26" s="1178">
        <f t="shared" si="10"/>
        <v>0</v>
      </c>
      <c r="N26" s="1177">
        <f t="shared" si="1"/>
        <v>0</v>
      </c>
      <c r="O26" s="557"/>
      <c r="P26" s="554"/>
      <c r="Q26" s="1040"/>
      <c r="R26" s="554"/>
      <c r="S26" s="554"/>
      <c r="T26" s="554"/>
      <c r="U26" s="554"/>
      <c r="V26" s="554"/>
    </row>
    <row r="27" spans="1:22" ht="12.75" customHeight="1" thickBot="1">
      <c r="A27" s="648"/>
      <c r="B27" s="649"/>
      <c r="C27" s="650"/>
      <c r="D27" s="650"/>
      <c r="E27" s="641"/>
      <c r="F27" s="651" t="s">
        <v>11</v>
      </c>
      <c r="G27" s="652">
        <v>0.153711544903991</v>
      </c>
      <c r="H27" s="656">
        <f t="shared" ref="H27:M27" si="11">ROUND(H24*$G$27,0)</f>
        <v>0</v>
      </c>
      <c r="I27" s="624">
        <f t="shared" si="11"/>
        <v>0</v>
      </c>
      <c r="J27" s="656">
        <f t="shared" si="11"/>
        <v>0</v>
      </c>
      <c r="K27" s="624">
        <f t="shared" si="11"/>
        <v>0</v>
      </c>
      <c r="L27" s="656">
        <f t="shared" si="11"/>
        <v>0</v>
      </c>
      <c r="M27" s="624">
        <f t="shared" si="11"/>
        <v>0</v>
      </c>
      <c r="N27" s="945">
        <f t="shared" si="1"/>
        <v>0</v>
      </c>
      <c r="O27" s="557"/>
      <c r="P27" s="554"/>
      <c r="Q27" s="554"/>
      <c r="R27" s="554"/>
      <c r="S27" s="554"/>
      <c r="T27" s="554"/>
      <c r="U27" s="554"/>
      <c r="V27" s="554"/>
    </row>
    <row r="28" spans="1:22" ht="12.75" customHeight="1" thickBot="1">
      <c r="A28" s="767" t="s">
        <v>614</v>
      </c>
      <c r="B28" s="768" t="s">
        <v>47</v>
      </c>
      <c r="C28" s="768" t="s">
        <v>103</v>
      </c>
      <c r="D28" s="768"/>
      <c r="E28" s="768" t="s">
        <v>48</v>
      </c>
      <c r="F28" s="769"/>
      <c r="G28" s="770"/>
      <c r="H28" s="771"/>
      <c r="I28" s="771"/>
      <c r="J28" s="771"/>
      <c r="K28" s="771"/>
      <c r="L28" s="771"/>
      <c r="M28" s="771"/>
      <c r="N28" s="772"/>
      <c r="O28" s="557"/>
      <c r="P28" s="554"/>
      <c r="Q28" s="554"/>
      <c r="R28" s="554"/>
      <c r="S28" s="554"/>
      <c r="T28" s="554"/>
      <c r="U28" s="554"/>
      <c r="V28" s="554"/>
    </row>
    <row r="29" spans="1:22" ht="12.75" customHeight="1">
      <c r="A29" s="657" t="s">
        <v>101</v>
      </c>
      <c r="B29" s="658">
        <v>0</v>
      </c>
      <c r="C29" s="659">
        <v>0</v>
      </c>
      <c r="D29" s="659"/>
      <c r="E29" s="659">
        <v>0</v>
      </c>
      <c r="F29" s="621"/>
      <c r="G29" s="621" t="s">
        <v>6</v>
      </c>
      <c r="H29" s="660">
        <f>ROUND(B29*C29*E29,0)</f>
        <v>0</v>
      </c>
      <c r="I29" s="622">
        <f>ROUND(H29*1.04,0)</f>
        <v>0</v>
      </c>
      <c r="J29" s="624">
        <f>ROUND(I29*1.04,0)</f>
        <v>0</v>
      </c>
      <c r="K29" s="622">
        <f>ROUND(J29*1.04,0)</f>
        <v>0</v>
      </c>
      <c r="L29" s="624">
        <f>ROUND(K29*1.04,0)</f>
        <v>0</v>
      </c>
      <c r="M29" s="622">
        <f>ROUND(L29*1.04,0)</f>
        <v>0</v>
      </c>
      <c r="N29" s="945">
        <f>SUM(H29:M29)</f>
        <v>0</v>
      </c>
      <c r="O29" s="557"/>
      <c r="P29" s="554"/>
      <c r="Q29" s="554"/>
      <c r="R29" s="554"/>
      <c r="S29" s="554"/>
      <c r="T29" s="554"/>
      <c r="U29" s="554"/>
      <c r="V29" s="554"/>
    </row>
    <row r="30" spans="1:22" ht="12.75" customHeight="1">
      <c r="A30" s="661"/>
      <c r="B30" s="662"/>
      <c r="C30" s="663"/>
      <c r="D30" s="663"/>
      <c r="E30" s="663"/>
      <c r="F30" s="630" t="s">
        <v>4</v>
      </c>
      <c r="G30" s="631">
        <v>2.2021918678526046E-2</v>
      </c>
      <c r="H30" s="646">
        <f>ROUND(H29*$G$30,0)</f>
        <v>0</v>
      </c>
      <c r="I30" s="945">
        <f>ROUND(I29*$G$30,0)</f>
        <v>0</v>
      </c>
      <c r="J30" s="624">
        <f>ROUND(J29*$G$30,0)</f>
        <v>0</v>
      </c>
      <c r="K30" s="945">
        <f>ROUND(K29*$G$30,0)</f>
        <v>0</v>
      </c>
      <c r="L30" s="624">
        <f>ROUND(L29*$G$30,0)</f>
        <v>0</v>
      </c>
      <c r="M30" s="945">
        <f t="shared" ref="M30:M38" si="12">ROUND(L30*1.04,0)</f>
        <v>0</v>
      </c>
      <c r="N30" s="945">
        <f t="shared" ref="N30:N38" si="13">SUM(H30:M30)</f>
        <v>0</v>
      </c>
      <c r="O30" s="557"/>
      <c r="P30" s="554"/>
      <c r="Q30" s="554"/>
      <c r="R30" s="554"/>
      <c r="S30" s="554"/>
      <c r="T30" s="554"/>
      <c r="U30" s="554"/>
      <c r="V30" s="554"/>
    </row>
    <row r="31" spans="1:22" ht="12.75" customHeight="1">
      <c r="A31" s="657" t="s">
        <v>224</v>
      </c>
      <c r="B31" s="658">
        <v>0</v>
      </c>
      <c r="C31" s="659">
        <v>0</v>
      </c>
      <c r="D31" s="659"/>
      <c r="E31" s="659">
        <v>0</v>
      </c>
      <c r="F31" s="621"/>
      <c r="G31" s="621" t="s">
        <v>6</v>
      </c>
      <c r="H31" s="646">
        <f>ROUND(B31*C31*E31,0)</f>
        <v>0</v>
      </c>
      <c r="I31" s="945">
        <f>ROUND(H31*1.04,0)</f>
        <v>0</v>
      </c>
      <c r="J31" s="624">
        <f>ROUND(I31*1.04,0)</f>
        <v>0</v>
      </c>
      <c r="K31" s="945">
        <f>ROUND(J31*1.04,0)</f>
        <v>0</v>
      </c>
      <c r="L31" s="624">
        <f>ROUND(K31*1.04,0)</f>
        <v>0</v>
      </c>
      <c r="M31" s="945">
        <f t="shared" si="12"/>
        <v>0</v>
      </c>
      <c r="N31" s="945">
        <f t="shared" si="13"/>
        <v>0</v>
      </c>
      <c r="O31" s="557"/>
      <c r="P31" s="554"/>
      <c r="Q31" s="554"/>
      <c r="R31" s="554"/>
      <c r="S31" s="554"/>
      <c r="T31" s="554"/>
      <c r="U31" s="554"/>
      <c r="V31" s="554"/>
    </row>
    <row r="32" spans="1:22" ht="12.75" customHeight="1">
      <c r="A32" s="661"/>
      <c r="B32" s="662"/>
      <c r="C32" s="663"/>
      <c r="D32" s="663"/>
      <c r="E32" s="663"/>
      <c r="F32" s="630" t="s">
        <v>4</v>
      </c>
      <c r="G32" s="631">
        <v>0.1</v>
      </c>
      <c r="H32" s="646">
        <f>ROUND(H31*$G$32,0)</f>
        <v>0</v>
      </c>
      <c r="I32" s="945">
        <f>ROUND(I31*$G$32,0)</f>
        <v>0</v>
      </c>
      <c r="J32" s="624">
        <f>ROUND(J31*$G$32,0)</f>
        <v>0</v>
      </c>
      <c r="K32" s="945">
        <f>ROUND(K31*$G$32,0)</f>
        <v>0</v>
      </c>
      <c r="L32" s="624">
        <f>ROUND(L31*$G$32,0)</f>
        <v>0</v>
      </c>
      <c r="M32" s="945">
        <f t="shared" si="12"/>
        <v>0</v>
      </c>
      <c r="N32" s="945">
        <f t="shared" si="13"/>
        <v>0</v>
      </c>
      <c r="O32" s="557"/>
      <c r="P32" s="554"/>
      <c r="Q32" s="554"/>
      <c r="R32" s="554"/>
      <c r="S32" s="554"/>
      <c r="T32" s="554"/>
      <c r="U32" s="554"/>
      <c r="V32" s="554"/>
    </row>
    <row r="33" spans="1:22" ht="12.75" customHeight="1">
      <c r="A33" s="653" t="s">
        <v>167</v>
      </c>
      <c r="B33" s="664">
        <v>0</v>
      </c>
      <c r="C33" s="665">
        <v>0</v>
      </c>
      <c r="D33" s="665"/>
      <c r="E33" s="665">
        <v>0</v>
      </c>
      <c r="F33" s="637"/>
      <c r="G33" s="637" t="s">
        <v>6</v>
      </c>
      <c r="H33" s="646">
        <f>ROUND(B33*C33*E33,0)</f>
        <v>0</v>
      </c>
      <c r="I33" s="945">
        <f>ROUND(H33*1.04,0)</f>
        <v>0</v>
      </c>
      <c r="J33" s="624">
        <f>ROUND(I33*1.04,0)</f>
        <v>0</v>
      </c>
      <c r="K33" s="945">
        <f>ROUND(J33*1.04,0)</f>
        <v>0</v>
      </c>
      <c r="L33" s="624">
        <f>ROUND(K33*1.04,0)</f>
        <v>0</v>
      </c>
      <c r="M33" s="945">
        <f t="shared" si="12"/>
        <v>0</v>
      </c>
      <c r="N33" s="945">
        <f t="shared" si="13"/>
        <v>0</v>
      </c>
      <c r="O33" s="557"/>
      <c r="P33" s="554"/>
      <c r="Q33" s="554"/>
      <c r="R33" s="554"/>
      <c r="S33" s="554"/>
      <c r="T33" s="554"/>
      <c r="U33" s="554"/>
      <c r="V33" s="554"/>
    </row>
    <row r="34" spans="1:22" ht="12.75" customHeight="1">
      <c r="A34" s="661"/>
      <c r="B34" s="662"/>
      <c r="C34" s="663"/>
      <c r="D34" s="663"/>
      <c r="E34" s="663"/>
      <c r="F34" s="630" t="s">
        <v>4</v>
      </c>
      <c r="G34" s="631">
        <v>0.10070111867852601</v>
      </c>
      <c r="H34" s="646">
        <f>ROUND(H33*$G$34,0)</f>
        <v>0</v>
      </c>
      <c r="I34" s="945">
        <f>ROUND(I33*$G$34,0)</f>
        <v>0</v>
      </c>
      <c r="J34" s="624">
        <f>ROUND(J33*$G$34,0)</f>
        <v>0</v>
      </c>
      <c r="K34" s="945">
        <f>ROUND(K33*$G$34,0)</f>
        <v>0</v>
      </c>
      <c r="L34" s="624">
        <f>ROUND(L33*$G$34,0)</f>
        <v>0</v>
      </c>
      <c r="M34" s="945">
        <f t="shared" si="12"/>
        <v>0</v>
      </c>
      <c r="N34" s="945">
        <f t="shared" si="13"/>
        <v>0</v>
      </c>
      <c r="O34" s="557"/>
      <c r="P34" s="554"/>
      <c r="Q34" s="554"/>
      <c r="R34" s="554"/>
      <c r="S34" s="554"/>
      <c r="T34" s="554"/>
      <c r="U34" s="554"/>
      <c r="V34" s="554"/>
    </row>
    <row r="35" spans="1:22" ht="12.75" customHeight="1">
      <c r="A35" s="657" t="s">
        <v>170</v>
      </c>
      <c r="B35" s="658">
        <v>0</v>
      </c>
      <c r="C35" s="659">
        <v>0</v>
      </c>
      <c r="D35" s="659"/>
      <c r="E35" s="659">
        <v>0</v>
      </c>
      <c r="F35" s="621"/>
      <c r="G35" s="621" t="s">
        <v>6</v>
      </c>
      <c r="H35" s="646">
        <f>ROUND(B35*C35*E35,0)</f>
        <v>0</v>
      </c>
      <c r="I35" s="945">
        <f>ROUND(H35*1.04,0)</f>
        <v>0</v>
      </c>
      <c r="J35" s="624">
        <f>ROUND(I35*1.04,0)</f>
        <v>0</v>
      </c>
      <c r="K35" s="945">
        <f>ROUND(J35*1.04,0)</f>
        <v>0</v>
      </c>
      <c r="L35" s="624">
        <f>ROUND(K35*1.04,0)</f>
        <v>0</v>
      </c>
      <c r="M35" s="945">
        <f t="shared" si="12"/>
        <v>0</v>
      </c>
      <c r="N35" s="945">
        <f t="shared" si="13"/>
        <v>0</v>
      </c>
      <c r="O35" s="557"/>
      <c r="P35" s="554"/>
      <c r="Q35" s="554"/>
      <c r="R35" s="554"/>
      <c r="S35" s="554"/>
      <c r="T35" s="554"/>
      <c r="U35" s="554"/>
      <c r="V35" s="554"/>
    </row>
    <row r="36" spans="1:22" ht="12.75" customHeight="1">
      <c r="A36" s="661"/>
      <c r="B36" s="662"/>
      <c r="C36" s="663"/>
      <c r="D36" s="663"/>
      <c r="E36" s="663"/>
      <c r="F36" s="630" t="s">
        <v>4</v>
      </c>
      <c r="G36" s="631">
        <v>0.194601118678526</v>
      </c>
      <c r="H36" s="646">
        <f>ROUND(H35*$G$36,0)</f>
        <v>0</v>
      </c>
      <c r="I36" s="945">
        <f>ROUND(I35*$G$36,0)</f>
        <v>0</v>
      </c>
      <c r="J36" s="624">
        <f>ROUND(J35*$G$36,0)</f>
        <v>0</v>
      </c>
      <c r="K36" s="945">
        <f>ROUND(K35*$G$36,0)</f>
        <v>0</v>
      </c>
      <c r="L36" s="624">
        <f>ROUND(L35*$G$36,0)</f>
        <v>0</v>
      </c>
      <c r="M36" s="945">
        <f t="shared" si="12"/>
        <v>0</v>
      </c>
      <c r="N36" s="945">
        <f t="shared" si="13"/>
        <v>0</v>
      </c>
      <c r="O36" s="557"/>
      <c r="P36" s="554"/>
      <c r="Q36" s="554"/>
      <c r="R36" s="554"/>
      <c r="S36" s="554"/>
      <c r="T36" s="554"/>
      <c r="U36" s="554"/>
      <c r="V36" s="554"/>
    </row>
    <row r="37" spans="1:22" ht="12.75" customHeight="1">
      <c r="A37" s="657" t="s">
        <v>171</v>
      </c>
      <c r="B37" s="658">
        <v>0</v>
      </c>
      <c r="C37" s="659">
        <v>0</v>
      </c>
      <c r="D37" s="659"/>
      <c r="E37" s="659">
        <v>0</v>
      </c>
      <c r="F37" s="651"/>
      <c r="G37" s="621" t="s">
        <v>6</v>
      </c>
      <c r="H37" s="646">
        <f>ROUND(B37*C37*E37,0)</f>
        <v>0</v>
      </c>
      <c r="I37" s="945">
        <f>ROUND(H37*1.04,0)</f>
        <v>0</v>
      </c>
      <c r="J37" s="624">
        <f>ROUND(I37*1.04,0)</f>
        <v>0</v>
      </c>
      <c r="K37" s="945">
        <f>ROUND(J37*1.04,0)</f>
        <v>0</v>
      </c>
      <c r="L37" s="624">
        <f>ROUND(K37*1.04,0)</f>
        <v>0</v>
      </c>
      <c r="M37" s="945">
        <f t="shared" si="12"/>
        <v>0</v>
      </c>
      <c r="N37" s="945">
        <f t="shared" si="13"/>
        <v>0</v>
      </c>
      <c r="O37" s="557"/>
      <c r="P37" s="554"/>
      <c r="Q37" s="554"/>
      <c r="R37" s="554"/>
      <c r="S37" s="554"/>
      <c r="T37" s="554"/>
      <c r="U37" s="554"/>
      <c r="V37" s="554"/>
    </row>
    <row r="38" spans="1:22" ht="12.75" customHeight="1">
      <c r="A38" s="661"/>
      <c r="B38" s="662"/>
      <c r="C38" s="663"/>
      <c r="D38" s="663"/>
      <c r="E38" s="663"/>
      <c r="F38" s="630" t="s">
        <v>4</v>
      </c>
      <c r="G38" s="631">
        <v>0.64925486709021596</v>
      </c>
      <c r="H38" s="646">
        <f>ROUND(H37*$G$38,0)</f>
        <v>0</v>
      </c>
      <c r="I38" s="666">
        <f>ROUND(I37*$G$38,0)</f>
        <v>0</v>
      </c>
      <c r="J38" s="667">
        <f>ROUND(J37*$G$38,0)</f>
        <v>0</v>
      </c>
      <c r="K38" s="666">
        <f>ROUND(K37*$G$38,0)</f>
        <v>0</v>
      </c>
      <c r="L38" s="667">
        <f>ROUND(L37*$G$38,0)</f>
        <v>0</v>
      </c>
      <c r="M38" s="945">
        <f t="shared" si="12"/>
        <v>0</v>
      </c>
      <c r="N38" s="945">
        <f t="shared" si="13"/>
        <v>0</v>
      </c>
      <c r="O38" s="557"/>
      <c r="P38" s="554"/>
      <c r="Q38" s="554"/>
      <c r="R38" s="554"/>
      <c r="S38" s="554"/>
      <c r="T38" s="554"/>
      <c r="U38" s="554"/>
      <c r="V38" s="554"/>
    </row>
    <row r="39" spans="1:22" ht="12.75" customHeight="1">
      <c r="A39" s="668"/>
      <c r="B39" s="551"/>
      <c r="C39" s="551"/>
      <c r="D39" s="551"/>
      <c r="E39" s="551"/>
      <c r="F39" s="551"/>
      <c r="G39" s="621" t="s">
        <v>28</v>
      </c>
      <c r="H39" s="779">
        <f t="shared" ref="H39:N39" si="14">H6+H8+H10+H12+H14+H16+H18+H20+H24</f>
        <v>0</v>
      </c>
      <c r="I39" s="780">
        <f t="shared" si="14"/>
        <v>0</v>
      </c>
      <c r="J39" s="781">
        <f t="shared" si="14"/>
        <v>0</v>
      </c>
      <c r="K39" s="780">
        <f t="shared" si="14"/>
        <v>0</v>
      </c>
      <c r="L39" s="781">
        <f t="shared" si="14"/>
        <v>0</v>
      </c>
      <c r="M39" s="780">
        <f t="shared" si="14"/>
        <v>0</v>
      </c>
      <c r="N39" s="780">
        <f t="shared" si="14"/>
        <v>0</v>
      </c>
      <c r="O39" s="624">
        <f>SUM(H39:M39)</f>
        <v>0</v>
      </c>
      <c r="P39" s="554"/>
      <c r="Q39" s="554"/>
      <c r="R39" s="554"/>
      <c r="S39" s="554"/>
      <c r="T39" s="554"/>
      <c r="U39" s="554"/>
      <c r="V39" s="554"/>
    </row>
    <row r="40" spans="1:22" ht="12.75" customHeight="1">
      <c r="A40" s="668"/>
      <c r="B40" s="551"/>
      <c r="C40" s="551"/>
      <c r="D40" s="551"/>
      <c r="E40" s="551"/>
      <c r="F40" s="551"/>
      <c r="G40" s="621" t="s">
        <v>29</v>
      </c>
      <c r="H40" s="782">
        <f t="shared" ref="H40:N40" si="15">H29+H31+H33+H35+H37</f>
        <v>0</v>
      </c>
      <c r="I40" s="783">
        <f t="shared" si="15"/>
        <v>0</v>
      </c>
      <c r="J40" s="784">
        <f t="shared" si="15"/>
        <v>0</v>
      </c>
      <c r="K40" s="783">
        <f t="shared" si="15"/>
        <v>0</v>
      </c>
      <c r="L40" s="784">
        <f t="shared" si="15"/>
        <v>0</v>
      </c>
      <c r="M40" s="783">
        <f t="shared" si="15"/>
        <v>0</v>
      </c>
      <c r="N40" s="783">
        <f t="shared" si="15"/>
        <v>0</v>
      </c>
      <c r="O40" s="624">
        <f>SUM(H40:M40)</f>
        <v>0</v>
      </c>
      <c r="P40" s="554"/>
      <c r="Q40" s="554"/>
      <c r="S40" s="554"/>
      <c r="T40" s="554"/>
      <c r="U40" s="554"/>
      <c r="V40" s="554"/>
    </row>
    <row r="41" spans="1:22" ht="12.75" customHeight="1" thickBot="1">
      <c r="A41" s="657"/>
      <c r="G41" s="621" t="s">
        <v>26</v>
      </c>
      <c r="H41" s="785">
        <f t="shared" ref="H41:M41" si="16">SUM(ROUND(H39,0),ROUND(H40,0))</f>
        <v>0</v>
      </c>
      <c r="I41" s="786">
        <f t="shared" si="16"/>
        <v>0</v>
      </c>
      <c r="J41" s="787">
        <f t="shared" si="16"/>
        <v>0</v>
      </c>
      <c r="K41" s="786">
        <f t="shared" si="16"/>
        <v>0</v>
      </c>
      <c r="L41" s="784">
        <f t="shared" si="16"/>
        <v>0</v>
      </c>
      <c r="M41" s="786">
        <f t="shared" si="16"/>
        <v>0</v>
      </c>
      <c r="N41" s="783">
        <f>SUM(N39:N40)</f>
        <v>0</v>
      </c>
      <c r="O41" s="624">
        <f>SUM(H41:M41)</f>
        <v>0</v>
      </c>
      <c r="P41" s="554"/>
      <c r="Q41" s="554"/>
      <c r="S41" s="554"/>
      <c r="T41" s="554"/>
      <c r="U41" s="554"/>
      <c r="V41" s="554"/>
    </row>
    <row r="42" spans="1:22" ht="12.75" customHeight="1" thickBot="1">
      <c r="A42" s="767" t="s">
        <v>615</v>
      </c>
      <c r="B42" s="768"/>
      <c r="C42" s="768"/>
      <c r="D42" s="768"/>
      <c r="E42" s="768"/>
      <c r="F42" s="769"/>
      <c r="G42" s="770"/>
      <c r="H42" s="1219"/>
      <c r="I42" s="1219"/>
      <c r="J42" s="773"/>
      <c r="K42" s="773"/>
      <c r="L42" s="773"/>
      <c r="M42" s="773"/>
      <c r="N42" s="772"/>
      <c r="O42" s="557"/>
      <c r="P42" s="554"/>
      <c r="Q42" s="554"/>
      <c r="R42" s="554"/>
      <c r="S42" s="554"/>
      <c r="T42" s="554"/>
      <c r="U42" s="554"/>
      <c r="V42" s="554"/>
    </row>
    <row r="43" spans="1:22" ht="12.75" customHeight="1">
      <c r="A43" s="1220"/>
      <c r="B43" s="1221"/>
      <c r="C43" s="1221"/>
      <c r="D43" s="1221"/>
      <c r="E43" s="1221"/>
      <c r="F43" s="1222"/>
      <c r="G43" s="1223" t="s">
        <v>8</v>
      </c>
      <c r="H43" s="1228">
        <f t="shared" ref="H43:M43" si="17">SUM(H21+H25)</f>
        <v>0</v>
      </c>
      <c r="I43" s="1228">
        <f t="shared" si="17"/>
        <v>0</v>
      </c>
      <c r="J43" s="1224">
        <f t="shared" si="17"/>
        <v>0</v>
      </c>
      <c r="K43" s="1227">
        <f t="shared" si="17"/>
        <v>0</v>
      </c>
      <c r="L43" s="1227">
        <f t="shared" si="17"/>
        <v>0</v>
      </c>
      <c r="M43" s="1228">
        <f t="shared" si="17"/>
        <v>0</v>
      </c>
      <c r="N43" s="1225">
        <f>SUM(H43:M43)</f>
        <v>0</v>
      </c>
      <c r="O43" s="624">
        <f>SUM(H43:M43)</f>
        <v>0</v>
      </c>
      <c r="P43" s="554"/>
      <c r="Q43" s="554"/>
      <c r="R43" s="554"/>
      <c r="S43" s="554"/>
      <c r="T43" s="554"/>
      <c r="U43" s="554"/>
      <c r="V43" s="554"/>
    </row>
    <row r="44" spans="1:22" ht="12.75" customHeight="1">
      <c r="A44" s="668"/>
      <c r="B44" s="551"/>
      <c r="C44" s="551"/>
      <c r="D44" s="551"/>
      <c r="E44" s="551"/>
      <c r="F44" s="551"/>
      <c r="G44" s="621" t="s">
        <v>731</v>
      </c>
      <c r="H44" s="782">
        <f t="shared" ref="H44:M44" si="18">SUM(ROUND(H7,0),ROUND(H9,0),ROUND(H11,0),ROUND(H13,0),ROUND(H15,0),ROUND(H17,0),ROUND(H19,0),ROUND(H22,0),ROUND(H23,0),ROUND(H26,0),ROUND(H27,0),ROUND(H30,0),ROUND(H32,0),ROUND(H34,0),ROUND(H36,0),ROUND(H38,0))</f>
        <v>0</v>
      </c>
      <c r="I44" s="782">
        <f t="shared" si="18"/>
        <v>0</v>
      </c>
      <c r="J44" s="782">
        <f t="shared" si="18"/>
        <v>0</v>
      </c>
      <c r="K44" s="782">
        <f t="shared" si="18"/>
        <v>0</v>
      </c>
      <c r="L44" s="782">
        <f t="shared" si="18"/>
        <v>0</v>
      </c>
      <c r="M44" s="783">
        <f t="shared" si="18"/>
        <v>0</v>
      </c>
      <c r="N44" s="1226">
        <f>N7+N9+N11+N13+N15+N17+N19+N22+N23+N26+N27+N30+N32+N34+N36+N38</f>
        <v>0</v>
      </c>
      <c r="O44" s="624">
        <f>SUM(H44:M44)</f>
        <v>0</v>
      </c>
      <c r="P44" s="554"/>
      <c r="Q44" s="554"/>
      <c r="R44" s="554"/>
      <c r="S44" s="554"/>
      <c r="T44" s="554"/>
      <c r="U44" s="554"/>
      <c r="V44" s="554"/>
    </row>
    <row r="45" spans="1:22" ht="12.75" customHeight="1" thickBot="1">
      <c r="A45" s="657"/>
      <c r="G45" s="621" t="s">
        <v>35</v>
      </c>
      <c r="H45" s="782">
        <f t="shared" ref="H45:M45" si="19">SUM(ROUND(H41,0),ROUND(H44,0),ROUND(H43,0))</f>
        <v>0</v>
      </c>
      <c r="I45" s="782">
        <f t="shared" si="19"/>
        <v>0</v>
      </c>
      <c r="J45" s="782">
        <f t="shared" si="19"/>
        <v>0</v>
      </c>
      <c r="K45" s="782">
        <f t="shared" si="19"/>
        <v>0</v>
      </c>
      <c r="L45" s="782">
        <f t="shared" si="19"/>
        <v>0</v>
      </c>
      <c r="M45" s="782">
        <f t="shared" si="19"/>
        <v>0</v>
      </c>
      <c r="N45" s="783">
        <f>N41+N44+N43</f>
        <v>0</v>
      </c>
      <c r="O45" s="624">
        <f>SUM(H45:M45)</f>
        <v>0</v>
      </c>
      <c r="P45" s="554"/>
      <c r="Q45" s="554"/>
      <c r="R45" s="554"/>
      <c r="S45" s="554"/>
      <c r="T45" s="554"/>
      <c r="U45" s="554"/>
      <c r="V45" s="554"/>
    </row>
    <row r="46" spans="1:22" ht="12.75" customHeight="1" thickBot="1">
      <c r="A46" s="767" t="s">
        <v>775</v>
      </c>
      <c r="B46" s="768"/>
      <c r="C46" s="768"/>
      <c r="D46" s="768"/>
      <c r="E46" s="768"/>
      <c r="F46" s="769"/>
      <c r="G46" s="770"/>
      <c r="H46" s="773"/>
      <c r="I46" s="773"/>
      <c r="J46" s="773"/>
      <c r="K46" s="773"/>
      <c r="L46" s="773"/>
      <c r="M46" s="773"/>
      <c r="N46" s="772"/>
      <c r="O46" s="557"/>
      <c r="P46" s="554"/>
      <c r="Q46" s="554"/>
      <c r="S46" s="554"/>
      <c r="T46" s="554"/>
      <c r="U46" s="554"/>
      <c r="V46" s="554"/>
    </row>
    <row r="47" spans="1:22" ht="12.75" customHeight="1">
      <c r="A47" s="657"/>
      <c r="G47" s="554"/>
      <c r="H47" s="671"/>
      <c r="I47" s="622"/>
      <c r="J47" s="622"/>
      <c r="K47" s="622"/>
      <c r="L47" s="622"/>
      <c r="M47" s="622"/>
      <c r="N47" s="945">
        <f>SUM(H47:M47)</f>
        <v>0</v>
      </c>
      <c r="O47" s="624"/>
    </row>
    <row r="48" spans="1:22" ht="12.75" customHeight="1">
      <c r="A48" s="657"/>
      <c r="G48" s="554"/>
      <c r="H48" s="673"/>
      <c r="I48" s="945"/>
      <c r="J48" s="945"/>
      <c r="K48" s="945"/>
      <c r="L48" s="945"/>
      <c r="M48" s="945"/>
      <c r="N48" s="945">
        <f>SUM(H48:M48)</f>
        <v>0</v>
      </c>
      <c r="O48" s="624"/>
    </row>
    <row r="49" spans="1:22" ht="12.75" customHeight="1">
      <c r="A49" s="657"/>
      <c r="G49" s="554"/>
      <c r="H49" s="673"/>
      <c r="I49" s="945"/>
      <c r="J49" s="945"/>
      <c r="K49" s="945"/>
      <c r="L49" s="945"/>
      <c r="M49" s="945"/>
      <c r="N49" s="945">
        <f>SUM(H49:M49)</f>
        <v>0</v>
      </c>
      <c r="O49" s="624"/>
      <c r="P49" s="554"/>
      <c r="Q49" s="554"/>
      <c r="S49" s="554"/>
      <c r="T49" s="554"/>
      <c r="U49" s="554"/>
      <c r="V49" s="554"/>
    </row>
    <row r="50" spans="1:22" ht="12.75" customHeight="1">
      <c r="A50" s="657"/>
      <c r="G50" s="554"/>
      <c r="H50" s="672"/>
      <c r="I50" s="945"/>
      <c r="J50" s="945"/>
      <c r="K50" s="945"/>
      <c r="L50" s="945"/>
      <c r="M50" s="945"/>
      <c r="N50" s="945">
        <f>SUM(H50:M50)</f>
        <v>0</v>
      </c>
      <c r="O50" s="624"/>
      <c r="P50" s="554"/>
      <c r="Q50" s="554"/>
      <c r="S50" s="554"/>
      <c r="T50" s="554"/>
      <c r="U50" s="554"/>
      <c r="V50" s="554"/>
    </row>
    <row r="51" spans="1:22" ht="12.75" customHeight="1" thickBot="1">
      <c r="A51" s="668"/>
      <c r="B51" s="551"/>
      <c r="C51" s="551"/>
      <c r="D51" s="551"/>
      <c r="E51" s="551"/>
      <c r="F51" s="551"/>
      <c r="G51" s="621" t="s">
        <v>33</v>
      </c>
      <c r="H51" s="779">
        <f t="shared" ref="H51:M51" si="20">SUM(H47:H50)</f>
        <v>0</v>
      </c>
      <c r="I51" s="779">
        <f t="shared" si="20"/>
        <v>0</v>
      </c>
      <c r="J51" s="779">
        <f t="shared" si="20"/>
        <v>0</v>
      </c>
      <c r="K51" s="779">
        <f t="shared" si="20"/>
        <v>0</v>
      </c>
      <c r="L51" s="779">
        <f t="shared" si="20"/>
        <v>0</v>
      </c>
      <c r="M51" s="779">
        <f t="shared" si="20"/>
        <v>0</v>
      </c>
      <c r="N51" s="804">
        <f>SUM(N47:N50)</f>
        <v>0</v>
      </c>
      <c r="O51" s="624">
        <f>SUM(H51:M51)</f>
        <v>0</v>
      </c>
      <c r="P51" s="554"/>
      <c r="Q51" s="554"/>
      <c r="S51" s="554"/>
      <c r="T51" s="554"/>
      <c r="U51" s="554"/>
      <c r="V51" s="554"/>
    </row>
    <row r="52" spans="1:22" ht="12.75" customHeight="1" thickBot="1">
      <c r="A52" s="767" t="s">
        <v>781</v>
      </c>
      <c r="B52" s="768"/>
      <c r="C52" s="768"/>
      <c r="D52" s="768"/>
      <c r="E52" s="768"/>
      <c r="F52" s="769"/>
      <c r="G52" s="770"/>
      <c r="H52" s="773"/>
      <c r="I52" s="773"/>
      <c r="J52" s="773"/>
      <c r="K52" s="773"/>
      <c r="L52" s="773"/>
      <c r="M52" s="773"/>
      <c r="N52" s="774"/>
      <c r="O52" s="624"/>
    </row>
    <row r="53" spans="1:22" ht="12.75" customHeight="1">
      <c r="A53" s="657"/>
      <c r="G53" s="554"/>
      <c r="H53" s="671"/>
      <c r="I53" s="622"/>
      <c r="J53" s="622"/>
      <c r="K53" s="622"/>
      <c r="L53" s="622"/>
      <c r="M53" s="622"/>
      <c r="N53" s="945">
        <f>SUM(H53:M53)</f>
        <v>0</v>
      </c>
      <c r="O53" s="624"/>
    </row>
    <row r="54" spans="1:22" ht="12.75" customHeight="1">
      <c r="A54" s="657"/>
      <c r="G54" s="554"/>
      <c r="H54" s="673"/>
      <c r="I54" s="945"/>
      <c r="J54" s="945"/>
      <c r="K54" s="945"/>
      <c r="L54" s="945"/>
      <c r="M54" s="945"/>
      <c r="N54" s="945">
        <f>SUM(H54:M54)</f>
        <v>0</v>
      </c>
      <c r="O54" s="624"/>
    </row>
    <row r="55" spans="1:22" ht="12.75" customHeight="1">
      <c r="A55" s="657"/>
      <c r="G55" s="554"/>
      <c r="H55" s="673"/>
      <c r="I55" s="945"/>
      <c r="J55" s="945"/>
      <c r="K55" s="945"/>
      <c r="L55" s="945"/>
      <c r="M55" s="945"/>
      <c r="N55" s="945">
        <f t="shared" ref="N55:N61" si="21">SUM(H55:M55)</f>
        <v>0</v>
      </c>
      <c r="O55" s="624"/>
    </row>
    <row r="56" spans="1:22" ht="12.75" customHeight="1">
      <c r="A56" s="657"/>
      <c r="G56" s="554"/>
      <c r="H56" s="673"/>
      <c r="I56" s="945"/>
      <c r="J56" s="945"/>
      <c r="K56" s="945"/>
      <c r="L56" s="945"/>
      <c r="M56" s="945"/>
      <c r="N56" s="945">
        <f t="shared" si="21"/>
        <v>0</v>
      </c>
      <c r="O56" s="624"/>
    </row>
    <row r="57" spans="1:22" ht="12.75" customHeight="1">
      <c r="A57" s="657"/>
      <c r="G57" s="554"/>
      <c r="H57" s="673"/>
      <c r="I57" s="945"/>
      <c r="J57" s="945"/>
      <c r="K57" s="945"/>
      <c r="L57" s="945"/>
      <c r="M57" s="945"/>
      <c r="N57" s="945">
        <f t="shared" si="21"/>
        <v>0</v>
      </c>
      <c r="O57" s="624"/>
    </row>
    <row r="58" spans="1:22" ht="12.75" customHeight="1">
      <c r="A58" s="657"/>
      <c r="G58" s="554"/>
      <c r="H58" s="673"/>
      <c r="I58" s="945"/>
      <c r="J58" s="945"/>
      <c r="K58" s="945"/>
      <c r="L58" s="945"/>
      <c r="M58" s="945"/>
      <c r="N58" s="945">
        <f t="shared" si="21"/>
        <v>0</v>
      </c>
      <c r="O58" s="624"/>
    </row>
    <row r="59" spans="1:22" ht="12.75" customHeight="1">
      <c r="A59" s="657"/>
      <c r="G59" s="554"/>
      <c r="H59" s="673"/>
      <c r="I59" s="945"/>
      <c r="J59" s="945"/>
      <c r="K59" s="945"/>
      <c r="L59" s="945"/>
      <c r="M59" s="945"/>
      <c r="N59" s="945">
        <f t="shared" si="21"/>
        <v>0</v>
      </c>
      <c r="O59" s="624"/>
    </row>
    <row r="60" spans="1:22" ht="12.75" customHeight="1">
      <c r="A60" s="657"/>
      <c r="G60" s="554"/>
      <c r="H60" s="673"/>
      <c r="I60" s="945"/>
      <c r="J60" s="945"/>
      <c r="K60" s="945"/>
      <c r="L60" s="945"/>
      <c r="M60" s="945"/>
      <c r="N60" s="945">
        <f t="shared" si="21"/>
        <v>0</v>
      </c>
      <c r="O60" s="624"/>
    </row>
    <row r="61" spans="1:22" ht="12.75" customHeight="1">
      <c r="A61" s="657"/>
      <c r="G61" s="554"/>
      <c r="H61" s="672"/>
      <c r="I61" s="666"/>
      <c r="J61" s="666"/>
      <c r="K61" s="666"/>
      <c r="L61" s="666"/>
      <c r="M61" s="666"/>
      <c r="N61" s="945">
        <f t="shared" si="21"/>
        <v>0</v>
      </c>
      <c r="O61" s="624"/>
    </row>
    <row r="62" spans="1:22" ht="12.75" customHeight="1" thickBot="1">
      <c r="A62" s="668"/>
      <c r="B62" s="551"/>
      <c r="C62" s="551"/>
      <c r="D62" s="551"/>
      <c r="E62" s="551"/>
      <c r="F62" s="551"/>
      <c r="G62" s="621" t="s">
        <v>30</v>
      </c>
      <c r="H62" s="779">
        <f t="shared" ref="H62:N62" si="22">SUM(H53:H61)</f>
        <v>0</v>
      </c>
      <c r="I62" s="779">
        <f t="shared" si="22"/>
        <v>0</v>
      </c>
      <c r="J62" s="779">
        <f t="shared" si="22"/>
        <v>0</v>
      </c>
      <c r="K62" s="779">
        <f t="shared" si="22"/>
        <v>0</v>
      </c>
      <c r="L62" s="779">
        <f t="shared" si="22"/>
        <v>0</v>
      </c>
      <c r="M62" s="779">
        <f t="shared" si="22"/>
        <v>0</v>
      </c>
      <c r="N62" s="780">
        <f t="shared" si="22"/>
        <v>0</v>
      </c>
      <c r="O62" s="624">
        <f>SUM(H62:M62)</f>
        <v>0</v>
      </c>
    </row>
    <row r="63" spans="1:22" ht="12.75" customHeight="1" thickBot="1">
      <c r="A63" s="767" t="s">
        <v>616</v>
      </c>
      <c r="B63" s="768"/>
      <c r="C63" s="768"/>
      <c r="D63" s="768"/>
      <c r="E63" s="768"/>
      <c r="F63" s="769"/>
      <c r="G63" s="770"/>
      <c r="H63" s="771"/>
      <c r="I63" s="771"/>
      <c r="J63" s="771"/>
      <c r="K63" s="771"/>
      <c r="L63" s="771"/>
      <c r="M63" s="771"/>
      <c r="N63" s="774"/>
      <c r="O63" s="624"/>
    </row>
    <row r="64" spans="1:22" ht="12.75" customHeight="1">
      <c r="A64" s="657" t="s">
        <v>335</v>
      </c>
      <c r="G64" s="554"/>
      <c r="H64" s="622"/>
      <c r="I64" s="622"/>
      <c r="J64" s="622"/>
      <c r="K64" s="622"/>
      <c r="L64" s="622"/>
      <c r="M64" s="622"/>
      <c r="N64" s="945">
        <f>SUM(H64:M64)</f>
        <v>0</v>
      </c>
      <c r="O64" s="624">
        <f>SUM(H64:M64)</f>
        <v>0</v>
      </c>
      <c r="V64" s="546" t="s">
        <v>143</v>
      </c>
    </row>
    <row r="65" spans="1:22" ht="12.75" customHeight="1">
      <c r="A65" s="657" t="s">
        <v>7</v>
      </c>
      <c r="G65" s="554"/>
      <c r="H65" s="945"/>
      <c r="I65" s="945"/>
      <c r="J65" s="945"/>
      <c r="K65" s="945"/>
      <c r="L65" s="945"/>
      <c r="M65" s="945"/>
      <c r="N65" s="945">
        <f>SUM(H65:M65)</f>
        <v>0</v>
      </c>
      <c r="O65" s="624">
        <f>SUM(H65:M65)</f>
        <v>0</v>
      </c>
    </row>
    <row r="66" spans="1:22" ht="12.75" customHeight="1">
      <c r="A66" s="657"/>
      <c r="G66" s="554"/>
      <c r="H66" s="945"/>
      <c r="I66" s="945"/>
      <c r="J66" s="945"/>
      <c r="K66" s="945"/>
      <c r="L66" s="945"/>
      <c r="M66" s="945"/>
      <c r="N66" s="945">
        <f>SUM(H66:M66)</f>
        <v>0</v>
      </c>
      <c r="O66" s="624"/>
    </row>
    <row r="67" spans="1:22" ht="12.75" customHeight="1">
      <c r="A67" s="657"/>
      <c r="G67" s="554"/>
      <c r="H67" s="666"/>
      <c r="I67" s="666"/>
      <c r="J67" s="666"/>
      <c r="K67" s="666"/>
      <c r="L67" s="666"/>
      <c r="M67" s="666"/>
      <c r="N67" s="945">
        <f>SUM(H67:M67)</f>
        <v>0</v>
      </c>
      <c r="O67" s="624"/>
    </row>
    <row r="68" spans="1:22" ht="12.75" customHeight="1" thickBot="1">
      <c r="A68" s="668"/>
      <c r="B68" s="551"/>
      <c r="C68" s="551"/>
      <c r="D68" s="551"/>
      <c r="E68" s="551"/>
      <c r="F68" s="551"/>
      <c r="G68" s="621" t="s">
        <v>31</v>
      </c>
      <c r="H68" s="779">
        <f t="shared" ref="H68:N68" si="23">ROUND(SUM(H64:H67),0)</f>
        <v>0</v>
      </c>
      <c r="I68" s="779">
        <f t="shared" si="23"/>
        <v>0</v>
      </c>
      <c r="J68" s="779">
        <f t="shared" si="23"/>
        <v>0</v>
      </c>
      <c r="K68" s="779">
        <f t="shared" si="23"/>
        <v>0</v>
      </c>
      <c r="L68" s="779">
        <f t="shared" si="23"/>
        <v>0</v>
      </c>
      <c r="M68" s="779">
        <f t="shared" si="23"/>
        <v>0</v>
      </c>
      <c r="N68" s="780">
        <f t="shared" si="23"/>
        <v>0</v>
      </c>
      <c r="O68" s="624">
        <f>SUM(H68:M68)</f>
        <v>0</v>
      </c>
    </row>
    <row r="69" spans="1:22" ht="12.75" hidden="1" customHeight="1" thickBot="1">
      <c r="A69" s="767" t="s">
        <v>617</v>
      </c>
      <c r="B69" s="768"/>
      <c r="C69" s="768"/>
      <c r="D69" s="768"/>
      <c r="E69" s="768"/>
      <c r="F69" s="769"/>
      <c r="G69" s="770"/>
      <c r="H69" s="771"/>
      <c r="I69" s="771"/>
      <c r="J69" s="771"/>
      <c r="K69" s="771"/>
      <c r="L69" s="771"/>
      <c r="M69" s="771"/>
      <c r="N69" s="774"/>
      <c r="O69" s="624"/>
    </row>
    <row r="70" spans="1:22" ht="12.75" hidden="1" customHeight="1">
      <c r="A70" s="657"/>
      <c r="G70" s="554"/>
      <c r="H70" s="622"/>
      <c r="I70" s="622"/>
      <c r="J70" s="622"/>
      <c r="K70" s="622"/>
      <c r="L70" s="622"/>
      <c r="M70" s="622"/>
      <c r="N70" s="945">
        <f>SUM(H70:M70)</f>
        <v>0</v>
      </c>
      <c r="O70" s="624"/>
      <c r="T70" s="554"/>
      <c r="U70" s="554"/>
      <c r="V70" s="554"/>
    </row>
    <row r="71" spans="1:22" ht="12.75" hidden="1" customHeight="1">
      <c r="A71" s="657"/>
      <c r="G71" s="554"/>
      <c r="H71" s="945"/>
      <c r="I71" s="945"/>
      <c r="J71" s="945"/>
      <c r="K71" s="945"/>
      <c r="L71" s="945"/>
      <c r="M71" s="945"/>
      <c r="N71" s="945">
        <f>SUM(H71:M71)</f>
        <v>0</v>
      </c>
      <c r="O71" s="624"/>
      <c r="T71" s="554"/>
      <c r="U71" s="554"/>
      <c r="V71" s="554"/>
    </row>
    <row r="72" spans="1:22" ht="12.75" hidden="1" customHeight="1">
      <c r="A72" s="657"/>
      <c r="G72" s="554"/>
      <c r="H72" s="666"/>
      <c r="I72" s="666"/>
      <c r="J72" s="666"/>
      <c r="K72" s="666"/>
      <c r="L72" s="666"/>
      <c r="M72" s="666"/>
      <c r="N72" s="945">
        <f>SUM(H72:M72)</f>
        <v>0</v>
      </c>
      <c r="O72" s="624"/>
      <c r="T72" s="554"/>
      <c r="U72" s="554"/>
      <c r="V72" s="554"/>
    </row>
    <row r="73" spans="1:22" ht="12.75" hidden="1" customHeight="1" thickBot="1">
      <c r="A73" s="668"/>
      <c r="B73" s="551"/>
      <c r="C73" s="551"/>
      <c r="D73" s="551"/>
      <c r="E73" s="551"/>
      <c r="F73" s="551"/>
      <c r="G73" s="621" t="s">
        <v>34</v>
      </c>
      <c r="H73" s="779">
        <f t="shared" ref="H73:N73" si="24">SUM(H70:H72)</f>
        <v>0</v>
      </c>
      <c r="I73" s="779">
        <f t="shared" si="24"/>
        <v>0</v>
      </c>
      <c r="J73" s="779">
        <f t="shared" si="24"/>
        <v>0</v>
      </c>
      <c r="K73" s="779">
        <f t="shared" si="24"/>
        <v>0</v>
      </c>
      <c r="L73" s="779">
        <f t="shared" si="24"/>
        <v>0</v>
      </c>
      <c r="M73" s="779">
        <f t="shared" si="24"/>
        <v>0</v>
      </c>
      <c r="N73" s="780">
        <f t="shared" si="24"/>
        <v>0</v>
      </c>
      <c r="O73" s="624">
        <f>SUM(H73:M73)</f>
        <v>0</v>
      </c>
    </row>
    <row r="74" spans="1:22" ht="12.75" customHeight="1" thickBot="1">
      <c r="A74" s="767" t="s">
        <v>618</v>
      </c>
      <c r="B74" s="768"/>
      <c r="C74" s="768"/>
      <c r="D74" s="768"/>
      <c r="E74" s="768"/>
      <c r="F74" s="769"/>
      <c r="G74" s="770"/>
      <c r="H74" s="771"/>
      <c r="I74" s="771"/>
      <c r="J74" s="771"/>
      <c r="K74" s="771"/>
      <c r="L74" s="771"/>
      <c r="M74" s="771"/>
      <c r="N74" s="774"/>
      <c r="O74" s="624"/>
      <c r="S74" s="546" t="s">
        <v>143</v>
      </c>
    </row>
    <row r="75" spans="1:22" ht="12.75" customHeight="1">
      <c r="A75" s="657"/>
      <c r="G75" s="554"/>
      <c r="H75" s="622"/>
      <c r="I75" s="622"/>
      <c r="J75" s="622"/>
      <c r="K75" s="622"/>
      <c r="L75" s="622"/>
      <c r="M75" s="622"/>
      <c r="N75" s="945">
        <f>SUM(H75:M75)</f>
        <v>0</v>
      </c>
      <c r="O75" s="624"/>
      <c r="P75" s="546" t="s">
        <v>143</v>
      </c>
      <c r="T75" s="554"/>
      <c r="U75" s="554"/>
      <c r="V75" s="554"/>
    </row>
    <row r="76" spans="1:22" ht="12.75" customHeight="1">
      <c r="A76" s="657"/>
      <c r="G76" s="554"/>
      <c r="H76" s="945"/>
      <c r="I76" s="945"/>
      <c r="J76" s="945"/>
      <c r="K76" s="945"/>
      <c r="L76" s="945"/>
      <c r="M76" s="945"/>
      <c r="N76" s="945">
        <f>SUM(H76:M76)</f>
        <v>0</v>
      </c>
      <c r="O76" s="624"/>
      <c r="T76" s="554"/>
      <c r="U76" s="554"/>
      <c r="V76" s="554"/>
    </row>
    <row r="77" spans="1:22" ht="12.75" customHeight="1">
      <c r="A77" s="668"/>
      <c r="B77" s="551"/>
      <c r="C77" s="551"/>
      <c r="D77" s="551"/>
      <c r="E77" s="551"/>
      <c r="F77" s="551"/>
      <c r="G77" s="554"/>
      <c r="H77" s="666"/>
      <c r="I77" s="666"/>
      <c r="J77" s="666"/>
      <c r="K77" s="666"/>
      <c r="L77" s="666"/>
      <c r="M77" s="945"/>
      <c r="N77" s="945">
        <f>SUM(H77:M77)</f>
        <v>0</v>
      </c>
      <c r="O77" s="624"/>
      <c r="T77" s="554"/>
      <c r="U77" s="554"/>
      <c r="V77" s="554"/>
    </row>
    <row r="78" spans="1:22" ht="12.75" customHeight="1" thickBot="1">
      <c r="A78" s="668"/>
      <c r="B78" s="551"/>
      <c r="C78" s="551"/>
      <c r="D78" s="551"/>
      <c r="E78" s="551"/>
      <c r="F78" s="551"/>
      <c r="G78" s="621" t="s">
        <v>27</v>
      </c>
      <c r="H78" s="779">
        <f t="shared" ref="H78:N78" si="25">SUM(H75:H77)</f>
        <v>0</v>
      </c>
      <c r="I78" s="779">
        <f t="shared" si="25"/>
        <v>0</v>
      </c>
      <c r="J78" s="779">
        <f t="shared" si="25"/>
        <v>0</v>
      </c>
      <c r="K78" s="779">
        <f t="shared" si="25"/>
        <v>0</v>
      </c>
      <c r="L78" s="779">
        <f t="shared" si="25"/>
        <v>0</v>
      </c>
      <c r="M78" s="779">
        <f t="shared" si="25"/>
        <v>0</v>
      </c>
      <c r="N78" s="780">
        <f t="shared" si="25"/>
        <v>0</v>
      </c>
      <c r="O78" s="624">
        <f>SUM(H78:M78)</f>
        <v>0</v>
      </c>
    </row>
    <row r="79" spans="1:22" ht="12.75" customHeight="1" thickBot="1">
      <c r="A79" s="767" t="s">
        <v>778</v>
      </c>
      <c r="B79" s="768"/>
      <c r="C79" s="768"/>
      <c r="D79" s="768"/>
      <c r="E79" s="768"/>
      <c r="F79" s="769"/>
      <c r="G79" s="770"/>
      <c r="H79" s="771"/>
      <c r="I79" s="771"/>
      <c r="J79" s="771"/>
      <c r="K79" s="771"/>
      <c r="L79" s="771"/>
      <c r="M79" s="771"/>
      <c r="N79" s="774"/>
      <c r="O79" s="624"/>
    </row>
    <row r="80" spans="1:22" ht="12.75" customHeight="1">
      <c r="A80" s="657"/>
      <c r="G80" s="554"/>
      <c r="H80" s="622"/>
      <c r="I80" s="622"/>
      <c r="J80" s="622"/>
      <c r="K80" s="622"/>
      <c r="L80" s="622"/>
      <c r="M80" s="622"/>
      <c r="N80" s="945">
        <f>SUM(H80:M80)</f>
        <v>0</v>
      </c>
      <c r="O80" s="624"/>
      <c r="T80" s="554"/>
      <c r="U80" s="554"/>
      <c r="V80" s="554"/>
    </row>
    <row r="81" spans="1:24" ht="12.75" customHeight="1">
      <c r="A81" s="657"/>
      <c r="G81" s="554"/>
      <c r="H81" s="945"/>
      <c r="I81" s="945"/>
      <c r="J81" s="945"/>
      <c r="K81" s="945"/>
      <c r="L81" s="945"/>
      <c r="M81" s="945"/>
      <c r="N81" s="945">
        <f>SUM(H81:M81)</f>
        <v>0</v>
      </c>
      <c r="O81" s="624"/>
      <c r="T81" s="554"/>
      <c r="U81" s="554"/>
      <c r="V81" s="554"/>
    </row>
    <row r="82" spans="1:24" ht="12.75" customHeight="1">
      <c r="A82" s="657"/>
      <c r="G82" s="554"/>
      <c r="H82" s="945"/>
      <c r="I82" s="945"/>
      <c r="J82" s="945"/>
      <c r="K82" s="945"/>
      <c r="L82" s="945"/>
      <c r="M82" s="945"/>
      <c r="N82" s="945">
        <f>SUM(H82:M82)</f>
        <v>0</v>
      </c>
      <c r="O82" s="624"/>
      <c r="T82" s="554"/>
      <c r="U82" s="554"/>
      <c r="V82" s="554"/>
    </row>
    <row r="83" spans="1:24" ht="12.75" customHeight="1">
      <c r="A83" s="657"/>
      <c r="G83" s="554"/>
      <c r="H83" s="666"/>
      <c r="I83" s="666"/>
      <c r="J83" s="666"/>
      <c r="K83" s="666"/>
      <c r="L83" s="666"/>
      <c r="M83" s="666"/>
      <c r="N83" s="945">
        <f>SUM(H83:M83)</f>
        <v>0</v>
      </c>
      <c r="O83" s="624"/>
      <c r="T83" s="554"/>
      <c r="U83" s="554"/>
      <c r="V83" s="554"/>
    </row>
    <row r="84" spans="1:24" ht="12.75" customHeight="1" thickBot="1">
      <c r="A84" s="668"/>
      <c r="B84" s="551"/>
      <c r="C84" s="551"/>
      <c r="D84" s="551"/>
      <c r="E84" s="551"/>
      <c r="F84" s="551"/>
      <c r="G84" s="621" t="s">
        <v>586</v>
      </c>
      <c r="H84" s="779">
        <f t="shared" ref="H84:N84" si="26">SUM(H80:H83)</f>
        <v>0</v>
      </c>
      <c r="I84" s="779">
        <f t="shared" si="26"/>
        <v>0</v>
      </c>
      <c r="J84" s="779">
        <f t="shared" si="26"/>
        <v>0</v>
      </c>
      <c r="K84" s="779">
        <f t="shared" si="26"/>
        <v>0</v>
      </c>
      <c r="L84" s="779">
        <f t="shared" si="26"/>
        <v>0</v>
      </c>
      <c r="M84" s="779">
        <f t="shared" si="26"/>
        <v>0</v>
      </c>
      <c r="N84" s="780">
        <f t="shared" si="26"/>
        <v>0</v>
      </c>
      <c r="O84" s="624">
        <f>SUM(H84:M84)</f>
        <v>0</v>
      </c>
    </row>
    <row r="85" spans="1:24" ht="12.75" customHeight="1" thickBot="1">
      <c r="A85" s="767" t="s">
        <v>780</v>
      </c>
      <c r="B85" s="768"/>
      <c r="C85" s="768"/>
      <c r="D85" s="768"/>
      <c r="E85" s="768"/>
      <c r="F85" s="769"/>
      <c r="G85" s="770"/>
      <c r="H85" s="771"/>
      <c r="I85" s="771"/>
      <c r="J85" s="771"/>
      <c r="K85" s="771"/>
      <c r="L85" s="771"/>
      <c r="M85" s="771"/>
      <c r="N85" s="774"/>
      <c r="O85" s="624"/>
    </row>
    <row r="86" spans="1:24" ht="12.75" customHeight="1">
      <c r="A86" s="675" t="s">
        <v>271</v>
      </c>
      <c r="B86" s="676" t="s">
        <v>319</v>
      </c>
      <c r="C86" s="676" t="s">
        <v>320</v>
      </c>
      <c r="D86" s="676" t="s">
        <v>321</v>
      </c>
      <c r="E86" s="676" t="s">
        <v>322</v>
      </c>
      <c r="F86" s="676" t="s">
        <v>323</v>
      </c>
      <c r="G86" s="677"/>
      <c r="H86" s="678"/>
      <c r="I86" s="679"/>
      <c r="J86" s="679"/>
      <c r="K86" s="679"/>
      <c r="L86" s="679"/>
      <c r="M86" s="679"/>
      <c r="N86" s="680"/>
      <c r="O86" s="624"/>
    </row>
    <row r="87" spans="1:24" ht="12.75" customHeight="1">
      <c r="A87" s="553" t="s">
        <v>272</v>
      </c>
      <c r="B87" s="681"/>
      <c r="G87" s="554"/>
      <c r="H87" s="945">
        <f t="shared" ref="H87:M88" si="27">B87</f>
        <v>0</v>
      </c>
      <c r="I87" s="945">
        <f t="shared" si="27"/>
        <v>0</v>
      </c>
      <c r="J87" s="945">
        <f t="shared" si="27"/>
        <v>0</v>
      </c>
      <c r="K87" s="945">
        <f t="shared" si="27"/>
        <v>0</v>
      </c>
      <c r="L87" s="945">
        <f t="shared" si="27"/>
        <v>0</v>
      </c>
      <c r="M87" s="945">
        <f t="shared" si="27"/>
        <v>0</v>
      </c>
      <c r="N87" s="945">
        <f>SUM(H87:M87)</f>
        <v>0</v>
      </c>
      <c r="O87" s="624"/>
    </row>
    <row r="88" spans="1:24" ht="12.75" customHeight="1">
      <c r="A88" s="553" t="s">
        <v>558</v>
      </c>
      <c r="B88" s="681"/>
      <c r="C88" s="681"/>
      <c r="D88" s="681"/>
      <c r="G88" s="554"/>
      <c r="H88" s="945">
        <f t="shared" si="27"/>
        <v>0</v>
      </c>
      <c r="I88" s="945">
        <f t="shared" si="27"/>
        <v>0</v>
      </c>
      <c r="J88" s="945">
        <f t="shared" si="27"/>
        <v>0</v>
      </c>
      <c r="K88" s="945">
        <f t="shared" si="27"/>
        <v>0</v>
      </c>
      <c r="L88" s="945">
        <f t="shared" si="27"/>
        <v>0</v>
      </c>
      <c r="M88" s="945">
        <f t="shared" si="27"/>
        <v>0</v>
      </c>
      <c r="N88" s="945">
        <f>SUM(H88:M88)</f>
        <v>0</v>
      </c>
      <c r="O88" s="624"/>
    </row>
    <row r="89" spans="1:24" ht="12.75" customHeight="1">
      <c r="A89" s="682" t="s">
        <v>273</v>
      </c>
      <c r="B89" s="683" t="s">
        <v>319</v>
      </c>
      <c r="C89" s="683" t="s">
        <v>320</v>
      </c>
      <c r="D89" s="683" t="s">
        <v>321</v>
      </c>
      <c r="E89" s="683" t="s">
        <v>322</v>
      </c>
      <c r="F89" s="683" t="s">
        <v>323</v>
      </c>
      <c r="G89" s="684"/>
      <c r="H89" s="685"/>
      <c r="I89" s="686"/>
      <c r="J89" s="686"/>
      <c r="K89" s="686"/>
      <c r="L89" s="686"/>
      <c r="M89" s="686"/>
      <c r="N89" s="687"/>
      <c r="O89" s="624"/>
    </row>
    <row r="90" spans="1:24" ht="12.75" customHeight="1">
      <c r="A90" s="553" t="s">
        <v>272</v>
      </c>
      <c r="B90" s="681"/>
      <c r="G90" s="554"/>
      <c r="H90" s="945">
        <f t="shared" ref="H90:M91" si="28">B90</f>
        <v>0</v>
      </c>
      <c r="I90" s="945">
        <f t="shared" si="28"/>
        <v>0</v>
      </c>
      <c r="J90" s="945">
        <f t="shared" si="28"/>
        <v>0</v>
      </c>
      <c r="K90" s="945">
        <f t="shared" si="28"/>
        <v>0</v>
      </c>
      <c r="L90" s="945">
        <f t="shared" si="28"/>
        <v>0</v>
      </c>
      <c r="M90" s="945">
        <f t="shared" si="28"/>
        <v>0</v>
      </c>
      <c r="N90" s="945">
        <f>SUM(H90:M90)</f>
        <v>0</v>
      </c>
      <c r="O90" s="624"/>
    </row>
    <row r="91" spans="1:24" ht="12.75" customHeight="1">
      <c r="A91" s="553" t="s">
        <v>558</v>
      </c>
      <c r="B91" s="681"/>
      <c r="C91" s="681"/>
      <c r="D91" s="681"/>
      <c r="G91" s="554"/>
      <c r="H91" s="666">
        <f t="shared" si="28"/>
        <v>0</v>
      </c>
      <c r="I91" s="666">
        <f t="shared" si="28"/>
        <v>0</v>
      </c>
      <c r="J91" s="666">
        <f t="shared" si="28"/>
        <v>0</v>
      </c>
      <c r="K91" s="666">
        <f t="shared" si="28"/>
        <v>0</v>
      </c>
      <c r="L91" s="666">
        <f t="shared" si="28"/>
        <v>0</v>
      </c>
      <c r="M91" s="945">
        <f t="shared" si="28"/>
        <v>0</v>
      </c>
      <c r="N91" s="945">
        <f>SUM(H91:M91)</f>
        <v>0</v>
      </c>
      <c r="O91" s="624"/>
    </row>
    <row r="92" spans="1:24" ht="12.75" customHeight="1">
      <c r="A92" s="657"/>
      <c r="B92" s="681"/>
      <c r="C92" s="681"/>
      <c r="D92" s="681"/>
      <c r="G92" s="651" t="s">
        <v>274</v>
      </c>
      <c r="H92" s="780">
        <f t="shared" ref="H92:N93" si="29">H87+H90</f>
        <v>0</v>
      </c>
      <c r="I92" s="780">
        <f t="shared" si="29"/>
        <v>0</v>
      </c>
      <c r="J92" s="780">
        <f t="shared" si="29"/>
        <v>0</v>
      </c>
      <c r="K92" s="780">
        <f t="shared" si="29"/>
        <v>0</v>
      </c>
      <c r="L92" s="780">
        <f t="shared" si="29"/>
        <v>0</v>
      </c>
      <c r="M92" s="780">
        <f t="shared" si="29"/>
        <v>0</v>
      </c>
      <c r="N92" s="780">
        <f t="shared" si="29"/>
        <v>0</v>
      </c>
      <c r="O92" s="624">
        <f>SUM(H92:M92)</f>
        <v>0</v>
      </c>
    </row>
    <row r="93" spans="1:24" ht="12.75" customHeight="1">
      <c r="A93" s="657"/>
      <c r="B93" s="681"/>
      <c r="C93" s="681"/>
      <c r="D93" s="681"/>
      <c r="G93" s="651" t="s">
        <v>275</v>
      </c>
      <c r="H93" s="780">
        <f t="shared" si="29"/>
        <v>0</v>
      </c>
      <c r="I93" s="780">
        <f t="shared" si="29"/>
        <v>0</v>
      </c>
      <c r="J93" s="780">
        <f t="shared" si="29"/>
        <v>0</v>
      </c>
      <c r="K93" s="780">
        <f t="shared" si="29"/>
        <v>0</v>
      </c>
      <c r="L93" s="780">
        <f t="shared" si="29"/>
        <v>0</v>
      </c>
      <c r="M93" s="780"/>
      <c r="N93" s="780">
        <f>N88+N91</f>
        <v>0</v>
      </c>
      <c r="O93" s="624">
        <f>SUM(H93:M93)</f>
        <v>0</v>
      </c>
      <c r="W93" s="545"/>
      <c r="X93" s="545"/>
    </row>
    <row r="94" spans="1:24" ht="12.75" customHeight="1" thickBot="1">
      <c r="A94" s="657"/>
      <c r="C94" s="688"/>
      <c r="G94" s="621" t="s">
        <v>32</v>
      </c>
      <c r="H94" s="788">
        <f t="shared" ref="H94:N94" si="30">SUM(H92:H93)</f>
        <v>0</v>
      </c>
      <c r="I94" s="788">
        <f t="shared" si="30"/>
        <v>0</v>
      </c>
      <c r="J94" s="788">
        <f t="shared" si="30"/>
        <v>0</v>
      </c>
      <c r="K94" s="788">
        <f t="shared" si="30"/>
        <v>0</v>
      </c>
      <c r="L94" s="788">
        <f t="shared" si="30"/>
        <v>0</v>
      </c>
      <c r="M94" s="788"/>
      <c r="N94" s="780">
        <f t="shared" si="30"/>
        <v>0</v>
      </c>
      <c r="O94" s="624">
        <f>SUM(H94:M94)</f>
        <v>0</v>
      </c>
      <c r="R94" s="546" t="s">
        <v>143</v>
      </c>
      <c r="W94" s="545"/>
      <c r="X94" s="545"/>
    </row>
    <row r="95" spans="1:24" s="693" customFormat="1" ht="12.75" customHeight="1" thickBot="1">
      <c r="A95" s="790" t="s">
        <v>584</v>
      </c>
      <c r="B95" s="791"/>
      <c r="C95" s="791"/>
      <c r="D95" s="791"/>
      <c r="E95" s="791"/>
      <c r="F95" s="791"/>
      <c r="G95" s="791"/>
      <c r="H95" s="792">
        <f>H45+H51+H62+H68+H73+H78+H84+H94</f>
        <v>0</v>
      </c>
      <c r="I95" s="792">
        <f t="shared" ref="I95:N95" si="31">I45+I51+I62+I68+I73+I78+I84+I94</f>
        <v>0</v>
      </c>
      <c r="J95" s="792">
        <f t="shared" si="31"/>
        <v>0</v>
      </c>
      <c r="K95" s="792">
        <f t="shared" si="31"/>
        <v>0</v>
      </c>
      <c r="L95" s="792">
        <f t="shared" si="31"/>
        <v>0</v>
      </c>
      <c r="M95" s="792">
        <f t="shared" si="31"/>
        <v>0</v>
      </c>
      <c r="N95" s="792">
        <f t="shared" si="31"/>
        <v>0</v>
      </c>
      <c r="O95" s="624"/>
      <c r="P95" s="546"/>
      <c r="Q95" s="546"/>
      <c r="R95" s="546"/>
      <c r="S95" s="546"/>
      <c r="T95" s="546"/>
      <c r="U95" s="546"/>
      <c r="V95" s="546"/>
      <c r="W95" s="545"/>
      <c r="X95" s="545"/>
    </row>
    <row r="96" spans="1:24" ht="12.75" customHeight="1" thickBot="1">
      <c r="A96" s="928" t="s">
        <v>10</v>
      </c>
      <c r="B96" s="940"/>
      <c r="C96" s="940"/>
      <c r="D96" s="940"/>
      <c r="E96" s="940"/>
      <c r="F96" s="941"/>
      <c r="G96" s="942"/>
      <c r="H96" s="943"/>
      <c r="I96" s="943"/>
      <c r="J96" s="943"/>
      <c r="K96" s="943"/>
      <c r="L96" s="943"/>
      <c r="M96" s="943"/>
      <c r="N96" s="944"/>
      <c r="O96" s="624">
        <f>SUM(H96:L96)</f>
        <v>0</v>
      </c>
      <c r="S96" s="546" t="s">
        <v>143</v>
      </c>
    </row>
    <row r="97" spans="1:24" ht="12.75" customHeight="1">
      <c r="A97" s="657" t="s">
        <v>8</v>
      </c>
      <c r="G97" s="554"/>
      <c r="H97" s="646">
        <f t="shared" ref="H97:M97" si="32">SUM(H21+H25)</f>
        <v>0</v>
      </c>
      <c r="I97" s="622">
        <f t="shared" si="32"/>
        <v>0</v>
      </c>
      <c r="J97" s="622">
        <f t="shared" si="32"/>
        <v>0</v>
      </c>
      <c r="K97" s="622">
        <f t="shared" si="32"/>
        <v>0</v>
      </c>
      <c r="L97" s="622">
        <f t="shared" si="32"/>
        <v>0</v>
      </c>
      <c r="M97" s="660">
        <f t="shared" si="32"/>
        <v>0</v>
      </c>
      <c r="N97" s="945">
        <f>SUM(H97:M97)</f>
        <v>0</v>
      </c>
      <c r="O97" s="624">
        <f t="shared" ref="O97:O102" si="33">SUM(H97:M97)</f>
        <v>0</v>
      </c>
      <c r="R97" s="706"/>
    </row>
    <row r="98" spans="1:24" ht="12.75" customHeight="1">
      <c r="A98" s="657" t="s">
        <v>9</v>
      </c>
      <c r="G98" s="554"/>
      <c r="H98" s="646">
        <f t="shared" ref="H98:M98" si="34">+H78</f>
        <v>0</v>
      </c>
      <c r="I98" s="945">
        <f t="shared" si="34"/>
        <v>0</v>
      </c>
      <c r="J98" s="945">
        <f t="shared" si="34"/>
        <v>0</v>
      </c>
      <c r="K98" s="945">
        <f t="shared" si="34"/>
        <v>0</v>
      </c>
      <c r="L98" s="945">
        <f t="shared" si="34"/>
        <v>0</v>
      </c>
      <c r="M98" s="646">
        <f t="shared" si="34"/>
        <v>0</v>
      </c>
      <c r="N98" s="945">
        <f>SUM(H98:M98)</f>
        <v>0</v>
      </c>
      <c r="O98" s="624">
        <f t="shared" si="33"/>
        <v>0</v>
      </c>
      <c r="R98" s="706"/>
    </row>
    <row r="99" spans="1:24" ht="12.75" customHeight="1">
      <c r="A99" s="657" t="s">
        <v>336</v>
      </c>
      <c r="G99" s="554"/>
      <c r="H99" s="646"/>
      <c r="I99" s="646"/>
      <c r="J99" s="646"/>
      <c r="K99" s="646"/>
      <c r="L99" s="945"/>
      <c r="M99" s="646"/>
      <c r="N99" s="945">
        <f>SUM(H99:M99)</f>
        <v>0</v>
      </c>
      <c r="O99" s="624">
        <f t="shared" si="33"/>
        <v>0</v>
      </c>
      <c r="R99" s="706"/>
    </row>
    <row r="100" spans="1:24" ht="12.75" customHeight="1">
      <c r="A100" s="657" t="s">
        <v>24</v>
      </c>
      <c r="G100" s="554"/>
      <c r="H100" s="701">
        <f t="shared" ref="H100:M100" si="35">(H84)</f>
        <v>0</v>
      </c>
      <c r="I100" s="701">
        <f t="shared" si="35"/>
        <v>0</v>
      </c>
      <c r="J100" s="701">
        <f t="shared" si="35"/>
        <v>0</v>
      </c>
      <c r="K100" s="701">
        <f t="shared" si="35"/>
        <v>0</v>
      </c>
      <c r="L100" s="701">
        <f t="shared" si="35"/>
        <v>0</v>
      </c>
      <c r="M100" s="701">
        <f t="shared" si="35"/>
        <v>0</v>
      </c>
      <c r="N100" s="945">
        <f>SUM(H100:M100)</f>
        <v>0</v>
      </c>
      <c r="O100" s="624">
        <f t="shared" si="33"/>
        <v>0</v>
      </c>
    </row>
    <row r="101" spans="1:24" ht="12.75" customHeight="1">
      <c r="A101" s="657"/>
      <c r="G101" s="621" t="s">
        <v>276</v>
      </c>
      <c r="H101" s="789">
        <f t="shared" ref="H101:N101" si="36">SUM(H97:H100)</f>
        <v>0</v>
      </c>
      <c r="I101" s="780">
        <f t="shared" si="36"/>
        <v>0</v>
      </c>
      <c r="J101" s="780">
        <f t="shared" si="36"/>
        <v>0</v>
      </c>
      <c r="K101" s="780">
        <f t="shared" si="36"/>
        <v>0</v>
      </c>
      <c r="L101" s="780">
        <f t="shared" si="36"/>
        <v>0</v>
      </c>
      <c r="M101" s="779">
        <f t="shared" si="36"/>
        <v>0</v>
      </c>
      <c r="N101" s="780">
        <f t="shared" si="36"/>
        <v>0</v>
      </c>
      <c r="O101" s="624">
        <f t="shared" si="33"/>
        <v>0</v>
      </c>
    </row>
    <row r="102" spans="1:24" ht="12.75" customHeight="1" thickBot="1">
      <c r="A102" s="930" t="s">
        <v>582</v>
      </c>
      <c r="B102" s="931"/>
      <c r="C102" s="931"/>
      <c r="D102" s="931"/>
      <c r="E102" s="931"/>
      <c r="F102" s="932"/>
      <c r="G102" s="933" t="s">
        <v>44</v>
      </c>
      <c r="H102" s="794">
        <f t="shared" ref="H102:N102" si="37">H95-H101</f>
        <v>0</v>
      </c>
      <c r="I102" s="795">
        <f t="shared" si="37"/>
        <v>0</v>
      </c>
      <c r="J102" s="795">
        <f t="shared" si="37"/>
        <v>0</v>
      </c>
      <c r="K102" s="795">
        <f t="shared" si="37"/>
        <v>0</v>
      </c>
      <c r="L102" s="795">
        <f t="shared" si="37"/>
        <v>0</v>
      </c>
      <c r="M102" s="794">
        <f t="shared" si="37"/>
        <v>0</v>
      </c>
      <c r="N102" s="795">
        <f t="shared" si="37"/>
        <v>0</v>
      </c>
      <c r="O102" s="624">
        <f t="shared" si="33"/>
        <v>0</v>
      </c>
    </row>
    <row r="103" spans="1:24" ht="12.75" customHeight="1" thickBot="1">
      <c r="A103" s="937" t="s">
        <v>621</v>
      </c>
      <c r="B103" s="805"/>
      <c r="C103" s="768"/>
      <c r="D103" s="768"/>
      <c r="E103" s="768"/>
      <c r="F103" s="938" t="s">
        <v>622</v>
      </c>
      <c r="G103" s="939"/>
      <c r="H103" s="929">
        <f t="shared" ref="H103:M103" si="38">H102*$G$103</f>
        <v>0</v>
      </c>
      <c r="I103" s="796">
        <f t="shared" si="38"/>
        <v>0</v>
      </c>
      <c r="J103" s="796">
        <f t="shared" si="38"/>
        <v>0</v>
      </c>
      <c r="K103" s="796">
        <f t="shared" si="38"/>
        <v>0</v>
      </c>
      <c r="L103" s="796">
        <f t="shared" si="38"/>
        <v>0</v>
      </c>
      <c r="M103" s="797">
        <f t="shared" si="38"/>
        <v>0</v>
      </c>
      <c r="N103" s="798">
        <f>SUM(H103:M103)</f>
        <v>0</v>
      </c>
      <c r="O103" s="624"/>
      <c r="S103" s="706"/>
      <c r="T103" s="706"/>
      <c r="U103" s="706"/>
      <c r="V103" s="706"/>
      <c r="W103" s="546"/>
      <c r="X103" s="546"/>
    </row>
    <row r="104" spans="1:24" ht="12.75" customHeight="1">
      <c r="A104" s="934" t="s">
        <v>585</v>
      </c>
      <c r="B104" s="935"/>
      <c r="C104" s="935"/>
      <c r="D104" s="935"/>
      <c r="E104" s="935"/>
      <c r="F104" s="935"/>
      <c r="G104" s="936"/>
      <c r="H104" s="691">
        <f>H95+H103</f>
        <v>0</v>
      </c>
      <c r="I104" s="691">
        <f t="shared" ref="I104:N104" si="39">I95+I103</f>
        <v>0</v>
      </c>
      <c r="J104" s="691">
        <f t="shared" si="39"/>
        <v>0</v>
      </c>
      <c r="K104" s="691">
        <f t="shared" si="39"/>
        <v>0</v>
      </c>
      <c r="L104" s="691">
        <f t="shared" si="39"/>
        <v>0</v>
      </c>
      <c r="M104" s="691">
        <f t="shared" si="39"/>
        <v>0</v>
      </c>
      <c r="N104" s="692">
        <f t="shared" si="39"/>
        <v>0</v>
      </c>
      <c r="O104" s="624">
        <f>SUM(H104:M104)</f>
        <v>0</v>
      </c>
      <c r="S104" s="706"/>
      <c r="T104" s="706"/>
      <c r="U104" s="706"/>
      <c r="V104" s="706"/>
      <c r="W104" s="546"/>
      <c r="X104" s="546"/>
    </row>
    <row r="105" spans="1:24" ht="12.75" customHeight="1">
      <c r="A105" s="712" t="s">
        <v>102</v>
      </c>
      <c r="B105" s="713"/>
      <c r="C105" s="800" t="s">
        <v>15</v>
      </c>
      <c r="D105" s="800" t="s">
        <v>16</v>
      </c>
      <c r="E105" s="800" t="s">
        <v>17</v>
      </c>
      <c r="F105" s="800" t="s">
        <v>18</v>
      </c>
      <c r="G105" s="801" t="s">
        <v>19</v>
      </c>
      <c r="H105" s="721"/>
      <c r="I105" s="554"/>
      <c r="J105" s="554"/>
      <c r="K105" s="554"/>
      <c r="L105" s="554"/>
      <c r="M105" s="554"/>
      <c r="N105" s="554"/>
      <c r="O105" s="557"/>
      <c r="S105" s="706"/>
      <c r="T105" s="706"/>
      <c r="U105" s="706"/>
      <c r="V105" s="706"/>
    </row>
    <row r="106" spans="1:24" ht="12.75" customHeight="1">
      <c r="A106" s="716"/>
      <c r="B106" s="799">
        <f>G103</f>
        <v>0</v>
      </c>
      <c r="C106" s="714" t="s">
        <v>25</v>
      </c>
      <c r="D106" s="714"/>
      <c r="E106" s="714"/>
      <c r="F106" s="714"/>
      <c r="G106" s="715"/>
      <c r="H106" s="721"/>
      <c r="K106" s="554"/>
      <c r="L106" s="554"/>
      <c r="M106" s="554"/>
      <c r="O106" s="557"/>
      <c r="W106" s="546"/>
    </row>
    <row r="107" spans="1:24" ht="12.75" customHeight="1">
      <c r="G107" s="554"/>
      <c r="H107" s="725" t="s">
        <v>287</v>
      </c>
      <c r="I107" s="554" t="s">
        <v>307</v>
      </c>
      <c r="J107" s="554"/>
      <c r="K107" s="554"/>
      <c r="L107" s="554"/>
      <c r="M107" s="554"/>
      <c r="N107" s="554"/>
      <c r="O107" s="557"/>
      <c r="W107" s="546"/>
    </row>
    <row r="108" spans="1:24" ht="12.75" customHeight="1">
      <c r="E108" s="1421" t="s">
        <v>38</v>
      </c>
      <c r="F108" s="1422"/>
      <c r="G108" s="1423"/>
      <c r="H108" s="802" t="s">
        <v>36</v>
      </c>
      <c r="I108" s="802" t="s">
        <v>0</v>
      </c>
      <c r="J108" s="802" t="s">
        <v>1</v>
      </c>
      <c r="K108" s="802" t="s">
        <v>2</v>
      </c>
      <c r="L108" s="802" t="s">
        <v>166</v>
      </c>
      <c r="M108" s="802" t="s">
        <v>461</v>
      </c>
      <c r="N108" s="802" t="s">
        <v>155</v>
      </c>
      <c r="O108" s="557"/>
    </row>
    <row r="109" spans="1:24" ht="12.75" customHeight="1">
      <c r="A109" s="551" t="s">
        <v>308</v>
      </c>
      <c r="E109" s="657"/>
      <c r="G109" s="719" t="s">
        <v>776</v>
      </c>
      <c r="H109" s="720">
        <f t="shared" ref="H109:N109" si="40">SUM(H39+H40)</f>
        <v>0</v>
      </c>
      <c r="I109" s="720">
        <f t="shared" si="40"/>
        <v>0</v>
      </c>
      <c r="J109" s="720">
        <f t="shared" si="40"/>
        <v>0</v>
      </c>
      <c r="K109" s="720">
        <f t="shared" si="40"/>
        <v>0</v>
      </c>
      <c r="L109" s="720">
        <f t="shared" si="40"/>
        <v>0</v>
      </c>
      <c r="M109" s="720">
        <f t="shared" si="40"/>
        <v>0</v>
      </c>
      <c r="N109" s="720">
        <f t="shared" si="40"/>
        <v>0</v>
      </c>
      <c r="O109" s="624">
        <f>SUM(H109:M109)</f>
        <v>0</v>
      </c>
    </row>
    <row r="110" spans="1:24" ht="12.75" customHeight="1">
      <c r="A110" s="721" t="s">
        <v>782</v>
      </c>
      <c r="B110" s="555"/>
      <c r="E110" s="657"/>
      <c r="G110" s="719" t="s">
        <v>774</v>
      </c>
      <c r="H110" s="945">
        <f t="shared" ref="H110:N110" si="41">H51</f>
        <v>0</v>
      </c>
      <c r="I110" s="945">
        <f t="shared" si="41"/>
        <v>0</v>
      </c>
      <c r="J110" s="945">
        <f t="shared" si="41"/>
        <v>0</v>
      </c>
      <c r="K110" s="945">
        <f t="shared" si="41"/>
        <v>0</v>
      </c>
      <c r="L110" s="945">
        <f t="shared" si="41"/>
        <v>0</v>
      </c>
      <c r="M110" s="945">
        <f t="shared" si="41"/>
        <v>0</v>
      </c>
      <c r="N110" s="945">
        <f t="shared" si="41"/>
        <v>0</v>
      </c>
      <c r="O110" s="624">
        <f t="shared" ref="O110:O120" si="42">SUM(H110:M110)</f>
        <v>0</v>
      </c>
    </row>
    <row r="111" spans="1:24" ht="12.75" customHeight="1">
      <c r="A111" s="721"/>
      <c r="B111" s="555"/>
      <c r="E111" s="657"/>
      <c r="G111" s="719" t="s">
        <v>39</v>
      </c>
      <c r="H111" s="945">
        <f t="shared" ref="H111:N111" si="43">H62</f>
        <v>0</v>
      </c>
      <c r="I111" s="945">
        <f t="shared" si="43"/>
        <v>0</v>
      </c>
      <c r="J111" s="945">
        <f t="shared" si="43"/>
        <v>0</v>
      </c>
      <c r="K111" s="945">
        <f t="shared" si="43"/>
        <v>0</v>
      </c>
      <c r="L111" s="945">
        <f t="shared" si="43"/>
        <v>0</v>
      </c>
      <c r="M111" s="945">
        <f t="shared" si="43"/>
        <v>0</v>
      </c>
      <c r="N111" s="945">
        <f t="shared" si="43"/>
        <v>0</v>
      </c>
      <c r="O111" s="624">
        <f t="shared" si="42"/>
        <v>0</v>
      </c>
    </row>
    <row r="112" spans="1:24" ht="12.75" customHeight="1">
      <c r="A112" s="721"/>
      <c r="B112" s="555"/>
      <c r="E112" s="657"/>
      <c r="G112" s="719" t="s">
        <v>40</v>
      </c>
      <c r="H112" s="945">
        <f t="shared" ref="H112:N112" si="44">H68</f>
        <v>0</v>
      </c>
      <c r="I112" s="945">
        <f t="shared" si="44"/>
        <v>0</v>
      </c>
      <c r="J112" s="945">
        <f t="shared" si="44"/>
        <v>0</v>
      </c>
      <c r="K112" s="945">
        <f t="shared" si="44"/>
        <v>0</v>
      </c>
      <c r="L112" s="945">
        <f t="shared" si="44"/>
        <v>0</v>
      </c>
      <c r="M112" s="945">
        <f t="shared" si="44"/>
        <v>0</v>
      </c>
      <c r="N112" s="945">
        <f t="shared" si="44"/>
        <v>0</v>
      </c>
      <c r="O112" s="624">
        <f t="shared" si="42"/>
        <v>0</v>
      </c>
    </row>
    <row r="113" spans="1:18" ht="12.75" customHeight="1">
      <c r="A113" s="555"/>
      <c r="B113" s="555"/>
      <c r="E113" s="657"/>
      <c r="G113" s="719" t="s">
        <v>41</v>
      </c>
      <c r="H113" s="945">
        <f t="shared" ref="H113:N113" si="45">H78</f>
        <v>0</v>
      </c>
      <c r="I113" s="945">
        <f t="shared" si="45"/>
        <v>0</v>
      </c>
      <c r="J113" s="945">
        <f t="shared" si="45"/>
        <v>0</v>
      </c>
      <c r="K113" s="945">
        <f t="shared" si="45"/>
        <v>0</v>
      </c>
      <c r="L113" s="945">
        <f t="shared" si="45"/>
        <v>0</v>
      </c>
      <c r="M113" s="945">
        <f t="shared" si="45"/>
        <v>0</v>
      </c>
      <c r="N113" s="945">
        <f t="shared" si="45"/>
        <v>0</v>
      </c>
      <c r="O113" s="624">
        <f t="shared" si="42"/>
        <v>0</v>
      </c>
    </row>
    <row r="114" spans="1:18" ht="12.75" customHeight="1">
      <c r="E114" s="657"/>
      <c r="G114" s="719" t="s">
        <v>42</v>
      </c>
      <c r="H114" s="945">
        <f t="shared" ref="H114:N114" si="46">H44</f>
        <v>0</v>
      </c>
      <c r="I114" s="945">
        <f t="shared" si="46"/>
        <v>0</v>
      </c>
      <c r="J114" s="945">
        <f t="shared" si="46"/>
        <v>0</v>
      </c>
      <c r="K114" s="945">
        <f t="shared" si="46"/>
        <v>0</v>
      </c>
      <c r="L114" s="945">
        <f t="shared" si="46"/>
        <v>0</v>
      </c>
      <c r="M114" s="945">
        <f t="shared" si="46"/>
        <v>0</v>
      </c>
      <c r="N114" s="945">
        <f t="shared" si="46"/>
        <v>0</v>
      </c>
      <c r="O114" s="624">
        <f t="shared" si="42"/>
        <v>0</v>
      </c>
    </row>
    <row r="115" spans="1:18" ht="12.75" customHeight="1">
      <c r="E115" s="657"/>
      <c r="G115" s="719" t="s">
        <v>732</v>
      </c>
      <c r="H115" s="945">
        <f t="shared" ref="H115:N115" si="47">H43</f>
        <v>0</v>
      </c>
      <c r="I115" s="945">
        <f t="shared" si="47"/>
        <v>0</v>
      </c>
      <c r="J115" s="945">
        <f t="shared" si="47"/>
        <v>0</v>
      </c>
      <c r="K115" s="945">
        <f t="shared" si="47"/>
        <v>0</v>
      </c>
      <c r="L115" s="945">
        <f t="shared" si="47"/>
        <v>0</v>
      </c>
      <c r="M115" s="945">
        <f t="shared" si="47"/>
        <v>0</v>
      </c>
      <c r="N115" s="945">
        <f t="shared" si="47"/>
        <v>0</v>
      </c>
      <c r="O115" s="624">
        <f>SUM(H115:M115)</f>
        <v>0</v>
      </c>
    </row>
    <row r="116" spans="1:18" ht="12.75" customHeight="1">
      <c r="E116" s="657"/>
      <c r="G116" s="719" t="s">
        <v>777</v>
      </c>
      <c r="H116" s="945">
        <f t="shared" ref="H116:N116" si="48">H84</f>
        <v>0</v>
      </c>
      <c r="I116" s="945">
        <f t="shared" si="48"/>
        <v>0</v>
      </c>
      <c r="J116" s="945">
        <f t="shared" si="48"/>
        <v>0</v>
      </c>
      <c r="K116" s="945">
        <f t="shared" si="48"/>
        <v>0</v>
      </c>
      <c r="L116" s="945">
        <f t="shared" si="48"/>
        <v>0</v>
      </c>
      <c r="M116" s="945">
        <f t="shared" si="48"/>
        <v>0</v>
      </c>
      <c r="N116" s="945">
        <f t="shared" si="48"/>
        <v>0</v>
      </c>
      <c r="O116" s="624">
        <f t="shared" si="42"/>
        <v>0</v>
      </c>
    </row>
    <row r="117" spans="1:18" ht="12.75" customHeight="1">
      <c r="E117" s="657"/>
      <c r="G117" s="719" t="s">
        <v>779</v>
      </c>
      <c r="H117" s="945">
        <f t="shared" ref="H117:N117" si="49">H94</f>
        <v>0</v>
      </c>
      <c r="I117" s="945">
        <f t="shared" si="49"/>
        <v>0</v>
      </c>
      <c r="J117" s="945">
        <f t="shared" si="49"/>
        <v>0</v>
      </c>
      <c r="K117" s="945">
        <f t="shared" si="49"/>
        <v>0</v>
      </c>
      <c r="L117" s="945">
        <f t="shared" si="49"/>
        <v>0</v>
      </c>
      <c r="M117" s="945">
        <f t="shared" si="49"/>
        <v>0</v>
      </c>
      <c r="N117" s="945">
        <f t="shared" si="49"/>
        <v>0</v>
      </c>
      <c r="O117" s="624">
        <f t="shared" si="42"/>
        <v>0</v>
      </c>
    </row>
    <row r="118" spans="1:18" ht="12.75" customHeight="1">
      <c r="A118" s="554" t="s">
        <v>143</v>
      </c>
      <c r="E118" s="657"/>
      <c r="G118" s="722" t="s">
        <v>21</v>
      </c>
      <c r="H118" s="720">
        <f t="shared" ref="H118:N118" si="50">SUM(H109:H117)</f>
        <v>0</v>
      </c>
      <c r="I118" s="720">
        <f t="shared" si="50"/>
        <v>0</v>
      </c>
      <c r="J118" s="720">
        <f t="shared" si="50"/>
        <v>0</v>
      </c>
      <c r="K118" s="720">
        <f t="shared" si="50"/>
        <v>0</v>
      </c>
      <c r="L118" s="720">
        <f t="shared" si="50"/>
        <v>0</v>
      </c>
      <c r="M118" s="720">
        <f t="shared" si="50"/>
        <v>0</v>
      </c>
      <c r="N118" s="692">
        <f t="shared" si="50"/>
        <v>0</v>
      </c>
      <c r="O118" s="624">
        <f t="shared" si="42"/>
        <v>0</v>
      </c>
    </row>
    <row r="119" spans="1:18" ht="12.75" customHeight="1">
      <c r="E119" s="657"/>
      <c r="G119" s="719" t="s">
        <v>43</v>
      </c>
      <c r="H119" s="692">
        <f t="shared" ref="H119:N119" si="51">H103</f>
        <v>0</v>
      </c>
      <c r="I119" s="692">
        <f t="shared" si="51"/>
        <v>0</v>
      </c>
      <c r="J119" s="692">
        <f t="shared" si="51"/>
        <v>0</v>
      </c>
      <c r="K119" s="692">
        <f t="shared" si="51"/>
        <v>0</v>
      </c>
      <c r="L119" s="692">
        <f t="shared" si="51"/>
        <v>0</v>
      </c>
      <c r="M119" s="692">
        <f t="shared" si="51"/>
        <v>0</v>
      </c>
      <c r="N119" s="692">
        <f t="shared" si="51"/>
        <v>0</v>
      </c>
      <c r="O119" s="624">
        <f t="shared" si="42"/>
        <v>0</v>
      </c>
    </row>
    <row r="120" spans="1:18" ht="12.75" customHeight="1">
      <c r="E120" s="661"/>
      <c r="F120" s="663"/>
      <c r="G120" s="723" t="s">
        <v>20</v>
      </c>
      <c r="H120" s="666">
        <f t="shared" ref="H120:N120" si="52">H118+H119</f>
        <v>0</v>
      </c>
      <c r="I120" s="666">
        <f t="shared" si="52"/>
        <v>0</v>
      </c>
      <c r="J120" s="666">
        <f t="shared" si="52"/>
        <v>0</v>
      </c>
      <c r="K120" s="666">
        <f t="shared" si="52"/>
        <v>0</v>
      </c>
      <c r="L120" s="666">
        <f t="shared" si="52"/>
        <v>0</v>
      </c>
      <c r="M120" s="666">
        <f t="shared" si="52"/>
        <v>0</v>
      </c>
      <c r="N120" s="666">
        <f t="shared" si="52"/>
        <v>0</v>
      </c>
      <c r="O120" s="624">
        <f t="shared" si="42"/>
        <v>0</v>
      </c>
    </row>
    <row r="121" spans="1:18" ht="12.75" customHeight="1">
      <c r="G121" s="621"/>
      <c r="H121" s="624"/>
      <c r="I121" s="624"/>
      <c r="J121" s="624"/>
      <c r="K121" s="624"/>
      <c r="L121" s="624"/>
      <c r="M121" s="624"/>
      <c r="N121" s="624"/>
      <c r="O121" s="624"/>
    </row>
    <row r="123" spans="1:18" ht="12.75" customHeight="1">
      <c r="A123" s="724" t="s">
        <v>177</v>
      </c>
      <c r="G123" s="554"/>
      <c r="H123" s="554"/>
      <c r="I123" s="554"/>
    </row>
    <row r="124" spans="1:18" ht="12.75" customHeight="1">
      <c r="A124" s="724" t="s">
        <v>139</v>
      </c>
      <c r="G124" s="554"/>
      <c r="H124" s="554"/>
      <c r="I124" s="554"/>
    </row>
    <row r="125" spans="1:18" ht="12.75" customHeight="1">
      <c r="A125" s="725" t="s">
        <v>176</v>
      </c>
      <c r="G125" s="554"/>
      <c r="H125" s="554"/>
      <c r="I125" s="554"/>
      <c r="R125" s="600"/>
    </row>
    <row r="126" spans="1:18" ht="12.75" customHeight="1">
      <c r="A126" s="725" t="s">
        <v>178</v>
      </c>
      <c r="G126" s="554"/>
      <c r="H126" s="554"/>
      <c r="I126" s="554"/>
      <c r="R126" s="600"/>
    </row>
    <row r="127" spans="1:18" ht="12.75" customHeight="1">
      <c r="A127" s="554" t="s">
        <v>168</v>
      </c>
      <c r="B127" s="726"/>
      <c r="E127" s="726">
        <f>Instructions!A20</f>
        <v>0.10070111867852601</v>
      </c>
      <c r="R127" s="600"/>
    </row>
    <row r="128" spans="1:18" ht="12.75" customHeight="1">
      <c r="A128" s="554" t="s">
        <v>172</v>
      </c>
      <c r="E128" s="726">
        <f>Instructions!A21</f>
        <v>0.194601118678526</v>
      </c>
      <c r="R128" s="600"/>
    </row>
    <row r="129" spans="1:18" ht="12.75" customHeight="1">
      <c r="A129" s="554" t="s">
        <v>169</v>
      </c>
      <c r="E129" s="726">
        <f>Instructions!A22</f>
        <v>0.64925486709021596</v>
      </c>
      <c r="H129" s="727"/>
      <c r="R129" s="600"/>
    </row>
    <row r="130" spans="1:18" ht="12.75" customHeight="1">
      <c r="A130" s="554" t="s">
        <v>179</v>
      </c>
      <c r="R130" s="600"/>
    </row>
    <row r="131" spans="1:18" s="600" customFormat="1" ht="12.75" customHeight="1"/>
    <row r="132" spans="1:18" s="600" customFormat="1" ht="12.75" customHeight="1"/>
    <row r="133" spans="1:18" s="600" customFormat="1" ht="12.75" customHeight="1"/>
    <row r="134" spans="1:18" s="600" customFormat="1" ht="12.75" customHeight="1"/>
    <row r="135" spans="1:18" s="600" customFormat="1" ht="12.75" customHeight="1"/>
    <row r="136" spans="1:18" s="600" customFormat="1" ht="12.75" customHeight="1"/>
    <row r="137" spans="1:18" s="600" customFormat="1" ht="12.75" customHeight="1"/>
    <row r="138" spans="1:18" s="600" customFormat="1" ht="12.75" customHeight="1"/>
    <row r="139" spans="1:18" s="600" customFormat="1" ht="12.75" customHeight="1"/>
    <row r="140" spans="1:18" s="600" customFormat="1" ht="12.75" customHeight="1"/>
    <row r="141" spans="1:18" s="600" customFormat="1" ht="12.75" customHeight="1"/>
    <row r="142" spans="1:18" s="600" customFormat="1" ht="12.75" customHeight="1"/>
    <row r="143" spans="1:18" s="600" customFormat="1" ht="12.75" customHeight="1"/>
    <row r="144" spans="1:18" s="600" customFormat="1" ht="12.75" customHeight="1"/>
    <row r="145" s="600" customFormat="1" ht="12.75" customHeight="1"/>
    <row r="146" s="600" customFormat="1" ht="12.75" customHeight="1"/>
    <row r="147" s="600" customFormat="1" ht="12.75" customHeight="1"/>
    <row r="148" s="600" customFormat="1" ht="12.75" customHeight="1"/>
    <row r="149" s="600" customFormat="1" ht="12.75" customHeight="1"/>
    <row r="150" s="600" customFormat="1" ht="12.75" customHeight="1"/>
    <row r="151" s="600" customFormat="1" ht="12.75" customHeight="1"/>
    <row r="152" s="600" customFormat="1" ht="12.75" customHeight="1"/>
    <row r="153" s="600" customFormat="1" ht="12.75" customHeight="1"/>
    <row r="154" s="600" customFormat="1" ht="12.75" customHeight="1"/>
    <row r="155" s="600" customFormat="1" ht="12.75" customHeight="1"/>
    <row r="156" s="600" customFormat="1" ht="12.75" customHeight="1"/>
    <row r="157" s="600" customFormat="1" ht="12.75" customHeight="1"/>
    <row r="158" s="600" customFormat="1" ht="12.75" customHeight="1"/>
    <row r="159" s="600" customFormat="1" ht="12.75" customHeight="1"/>
    <row r="160" s="600" customFormat="1" ht="12.75" customHeight="1"/>
    <row r="161" s="600" customFormat="1" ht="12.75" customHeight="1"/>
    <row r="162" s="600" customFormat="1" ht="12.75" customHeight="1"/>
    <row r="163" s="600" customFormat="1" ht="12.75" customHeight="1"/>
    <row r="164" s="600" customFormat="1" ht="12.75" customHeight="1"/>
    <row r="165" s="600" customFormat="1" ht="12.75" customHeight="1"/>
    <row r="166" s="600" customFormat="1" ht="12.75" customHeight="1"/>
    <row r="167" s="600" customFormat="1" ht="12.75" customHeight="1"/>
    <row r="168" s="600" customFormat="1" ht="12.75" customHeight="1"/>
    <row r="169" s="600" customFormat="1" ht="12.75" customHeight="1"/>
    <row r="170" s="600" customFormat="1" ht="12.75" customHeight="1"/>
    <row r="171" s="600" customFormat="1" ht="12.75" customHeight="1"/>
    <row r="172" s="600" customFormat="1" ht="12.75" customHeight="1"/>
    <row r="173" s="600" customFormat="1" ht="12.75" customHeight="1"/>
    <row r="174" s="600" customFormat="1" ht="12.75" customHeight="1"/>
    <row r="175" s="600" customFormat="1" ht="12.75" customHeight="1"/>
    <row r="176" s="600" customFormat="1" ht="12.75" customHeight="1"/>
    <row r="177" s="600" customFormat="1" ht="12.75" customHeight="1"/>
    <row r="178" s="600" customFormat="1" ht="12.75" customHeight="1"/>
    <row r="179" s="600" customFormat="1" ht="12.75" customHeight="1"/>
    <row r="180" s="600" customFormat="1" ht="12.75" customHeight="1"/>
    <row r="181" s="600" customFormat="1" ht="12.75" customHeight="1"/>
    <row r="182" s="600" customFormat="1" ht="12.75" customHeight="1"/>
    <row r="183" s="600" customFormat="1" ht="12.75" customHeight="1"/>
    <row r="184" s="600" customFormat="1" ht="12.75" customHeight="1"/>
    <row r="185" s="600" customFormat="1" ht="12.75" customHeight="1"/>
    <row r="186" s="600" customFormat="1" ht="12.75" customHeight="1"/>
    <row r="187" s="600" customFormat="1" ht="12.75" customHeight="1"/>
    <row r="188" s="600" customFormat="1" ht="12.75" customHeight="1"/>
    <row r="189" s="600" customFormat="1" ht="12.75" customHeight="1"/>
    <row r="190" s="600" customFormat="1" ht="12.75" customHeight="1"/>
    <row r="191" s="600" customFormat="1" ht="12.75" customHeight="1"/>
    <row r="192" s="600" customFormat="1" ht="12.75" customHeight="1"/>
    <row r="193" s="600" customFormat="1" ht="12.75" customHeight="1"/>
    <row r="194" s="600" customFormat="1" ht="12.75" customHeight="1"/>
    <row r="195" s="600" customFormat="1" ht="12.75" customHeight="1"/>
    <row r="196" s="600" customFormat="1" ht="12.75" customHeight="1"/>
    <row r="197" s="600" customFormat="1" ht="12.75" customHeight="1"/>
    <row r="198" s="600" customFormat="1" ht="12.75" customHeight="1"/>
    <row r="199" s="600" customFormat="1" ht="12.75" customHeight="1"/>
    <row r="200" s="600" customFormat="1" ht="12.75" customHeight="1"/>
    <row r="201" s="600" customFormat="1" ht="12.75" customHeight="1"/>
    <row r="202" s="600" customFormat="1" ht="12.75" customHeight="1"/>
    <row r="203" s="600" customFormat="1" ht="12.75" customHeight="1"/>
    <row r="204" s="600" customFormat="1" ht="12.75" customHeight="1"/>
    <row r="205" s="600" customFormat="1" ht="12.75" customHeight="1"/>
    <row r="206" s="600" customFormat="1" ht="12.75" customHeight="1"/>
    <row r="207" s="600" customFormat="1" ht="12.75" customHeight="1"/>
    <row r="208" s="600" customFormat="1" ht="12.75" customHeight="1"/>
    <row r="209" spans="18:18" s="600" customFormat="1" ht="12.75" customHeight="1"/>
    <row r="210" spans="18:18" s="600" customFormat="1" ht="12.75" customHeight="1"/>
    <row r="211" spans="18:18" s="600" customFormat="1" ht="12.75" customHeight="1"/>
    <row r="212" spans="18:18" s="600" customFormat="1" ht="12.75" customHeight="1"/>
    <row r="213" spans="18:18" s="600" customFormat="1" ht="12.75" customHeight="1"/>
    <row r="214" spans="18:18" s="600" customFormat="1" ht="12.75" customHeight="1"/>
    <row r="215" spans="18:18" s="600" customFormat="1" ht="12.75" customHeight="1"/>
    <row r="216" spans="18:18" s="600" customFormat="1" ht="12.75" customHeight="1"/>
    <row r="217" spans="18:18" s="600" customFormat="1" ht="12.75" customHeight="1"/>
    <row r="218" spans="18:18" s="600" customFormat="1" ht="12.75" customHeight="1"/>
    <row r="219" spans="18:18" s="600" customFormat="1" ht="12.75" customHeight="1"/>
    <row r="220" spans="18:18" s="600" customFormat="1" ht="12.75" customHeight="1"/>
    <row r="221" spans="18:18" s="600" customFormat="1" ht="12.75" customHeight="1">
      <c r="R221" s="546"/>
    </row>
    <row r="222" spans="18:18" s="600" customFormat="1" ht="12.75" customHeight="1">
      <c r="R222" s="546"/>
    </row>
    <row r="223" spans="18:18" s="600" customFormat="1" ht="12.75" customHeight="1">
      <c r="R223" s="546"/>
    </row>
    <row r="224" spans="18:18" s="600" customFormat="1" ht="12.75" customHeight="1">
      <c r="R224" s="546"/>
    </row>
    <row r="225" spans="18:18" s="600" customFormat="1" ht="12.75" customHeight="1">
      <c r="R225" s="546"/>
    </row>
    <row r="226" spans="18:18" s="600" customFormat="1" ht="12.75" customHeight="1">
      <c r="R226" s="546"/>
    </row>
  </sheetData>
  <sheetProtection selectLockedCells="1"/>
  <mergeCells count="2">
    <mergeCell ref="B3:F3"/>
    <mergeCell ref="E108:G108"/>
  </mergeCells>
  <dataValidations xWindow="504" yWindow="680" count="4">
    <dataValidation type="list" allowBlank="1" showInputMessage="1" showErrorMessage="1" promptTitle="Applicable Rates " prompt="FY24_x000a_31.23% - Faculty_x000a_35.18% - Exempt_x000a_42.52% - CS/BU" sqref="G19 G7 G9 G11 G13 G15 G17" xr:uid="{00000000-0002-0000-0100-000000000000}">
      <formula1>RANGE1</formula1>
    </dataValidation>
    <dataValidation type="list" allowBlank="1" showInputMessage="1" showErrorMessage="1" promptTitle="Non-Student Temporary" prompt="FY24_x000a_NO PERS - 10.07%_x000a_PERS - 19.46%_x000a_BOTH - 64.93%" sqref="G38 G34 G36" xr:uid="{00000000-0002-0000-0100-000001000000}">
      <formula1>RANGE3</formula1>
    </dataValidation>
    <dataValidation allowBlank="1" showInputMessage="1" showErrorMessage="1" promptTitle="Applicable Rates " prompt="52.0% on-campus, effective 7/1/16_x000a_53.0% on-campus, effective 7/1/17_x000a_26.0% off-campus_x000a_57.5% on-campus Instruction_x000a_36.0% on-campus Other Sponsored Activity_x000a_8% Training_x000a_10% TDC_x000a_11.11%   (10% Total Costs)_x000a_28.205% (22% Total Costs)_x000a_42.857% (30% Total Costs)" sqref="G103" xr:uid="{00000000-0002-0000-0100-000002000000}"/>
    <dataValidation type="list" allowBlank="1" showInputMessage="1" showErrorMessage="1" promptTitle="Student FT PT" prompt="FY24_x000a_FT- 2.2%_x000a_PT-10%" sqref="G32 G30" xr:uid="{00000000-0002-0000-0100-000003000000}">
      <formula1>RANGE2</formula1>
    </dataValidation>
  </dataValidations>
  <hyperlinks>
    <hyperlink ref="P10" r:id="rId1" xr:uid="{00000000-0004-0000-0100-000001000000}"/>
    <hyperlink ref="P13" r:id="rId2" xr:uid="{00000000-0004-0000-0100-000002000000}"/>
  </hyperlinks>
  <pageMargins left="0.03" right="0.03" top="0.03" bottom="0.03" header="0.03" footer="0.3"/>
  <pageSetup scale="49" orientation="portrait"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6699FF"/>
    <pageSetUpPr fitToPage="1"/>
  </sheetPr>
  <dimension ref="A1:BY55"/>
  <sheetViews>
    <sheetView zoomScaleNormal="100" workbookViewId="0"/>
  </sheetViews>
  <sheetFormatPr defaultRowHeight="13.5"/>
  <cols>
    <col min="1" max="1" width="12.5703125" style="10" customWidth="1"/>
    <col min="2" max="2" width="7.7109375" style="4" customWidth="1"/>
    <col min="3" max="18" width="9.7109375" style="4" customWidth="1"/>
    <col min="19" max="19" width="11.28515625" style="4" hidden="1" customWidth="1"/>
    <col min="20" max="20" width="7.5703125" style="4" hidden="1" customWidth="1"/>
    <col min="21" max="21" width="8.5703125" style="4" hidden="1" customWidth="1"/>
    <col min="22" max="22" width="10.42578125" style="4" hidden="1" customWidth="1"/>
    <col min="23" max="23" width="10.140625" style="4" hidden="1" customWidth="1"/>
    <col min="24" max="76" width="11.42578125" style="4" hidden="1" customWidth="1"/>
    <col min="77" max="77" width="9.140625" style="4" hidden="1" customWidth="1"/>
    <col min="78" max="80" width="9.140625" style="4" customWidth="1"/>
    <col min="81" max="16384" width="9.140625" style="4"/>
  </cols>
  <sheetData>
    <row r="1" spans="1:76" ht="24.75" thickBot="1">
      <c r="A1" s="36" t="s">
        <v>49</v>
      </c>
      <c r="B1" s="2"/>
      <c r="C1" s="2"/>
      <c r="D1" s="2"/>
      <c r="E1" s="2"/>
      <c r="F1" s="2"/>
      <c r="G1" s="2"/>
      <c r="H1" s="2"/>
      <c r="I1" s="2"/>
      <c r="J1" s="2"/>
      <c r="K1" s="2"/>
      <c r="L1" s="2"/>
      <c r="M1" s="2"/>
      <c r="N1" s="2"/>
      <c r="O1" s="2"/>
      <c r="P1" s="2"/>
      <c r="Q1" s="2"/>
      <c r="R1" s="3"/>
      <c r="T1" s="4" t="s">
        <v>50</v>
      </c>
      <c r="U1" s="1112">
        <v>3544</v>
      </c>
      <c r="V1" s="4">
        <f>ROUND(U1*1.04,0)</f>
        <v>3686</v>
      </c>
      <c r="W1" s="4">
        <f>ROUND(V1*1.04,0)</f>
        <v>3833</v>
      </c>
    </row>
    <row r="2" spans="1:76" ht="20.25" thickTop="1" thickBot="1">
      <c r="A2" s="6" t="s">
        <v>51</v>
      </c>
      <c r="B2" s="7"/>
      <c r="C2" s="39" t="s">
        <v>315</v>
      </c>
      <c r="D2" s="7"/>
      <c r="E2" s="7"/>
      <c r="F2" s="7"/>
      <c r="G2" s="7"/>
      <c r="H2" s="7"/>
      <c r="I2" s="7"/>
      <c r="J2" s="7"/>
      <c r="K2" s="7"/>
      <c r="L2" s="7"/>
      <c r="M2" s="8"/>
      <c r="N2" s="9"/>
      <c r="O2" s="7"/>
      <c r="P2" s="7"/>
      <c r="Q2" s="123"/>
      <c r="R2" s="37"/>
      <c r="T2" s="4" t="s">
        <v>52</v>
      </c>
      <c r="U2" s="1112">
        <f>'GRA 26-60 Matrices'!U7</f>
        <v>3340</v>
      </c>
      <c r="V2" s="4">
        <f>ROUND(U2*1.04,0)</f>
        <v>3474</v>
      </c>
      <c r="W2" s="4">
        <f>ROUND(V2*1.04,0)</f>
        <v>3613</v>
      </c>
    </row>
    <row r="4" spans="1:76" ht="15.75">
      <c r="A4" s="111" t="s">
        <v>266</v>
      </c>
      <c r="B4" s="12"/>
      <c r="C4" s="1"/>
      <c r="D4" s="1"/>
      <c r="E4" s="1"/>
      <c r="F4" s="1"/>
      <c r="G4" s="1"/>
      <c r="H4" s="1"/>
      <c r="I4" s="1"/>
      <c r="J4" s="1"/>
      <c r="K4" s="1"/>
      <c r="L4" s="1"/>
      <c r="M4" s="1"/>
      <c r="N4" s="1"/>
      <c r="O4" s="1"/>
      <c r="P4" s="1"/>
      <c r="Q4" s="1"/>
      <c r="R4" s="1"/>
    </row>
    <row r="5" spans="1:76" ht="15.75">
      <c r="A5" s="11"/>
      <c r="B5" s="13" t="s">
        <v>54</v>
      </c>
      <c r="C5" s="1"/>
      <c r="D5" s="1"/>
      <c r="E5" s="1"/>
      <c r="F5" s="1"/>
      <c r="G5" s="1"/>
      <c r="H5" s="1"/>
      <c r="I5" s="1"/>
      <c r="J5" s="1"/>
      <c r="K5" s="1"/>
      <c r="L5" s="1"/>
      <c r="M5" s="1"/>
      <c r="N5" s="1"/>
      <c r="O5" s="1"/>
      <c r="P5" s="1"/>
      <c r="Q5" s="1"/>
      <c r="R5" s="1"/>
      <c r="V5" s="114" t="s">
        <v>53</v>
      </c>
      <c r="W5" s="113">
        <v>0.5</v>
      </c>
      <c r="X5" s="15">
        <f>+(D7-C7)/C7</f>
        <v>1.6930022573363431E-3</v>
      </c>
      <c r="Y5" s="15">
        <f t="shared" ref="Y5:AM5" si="0">+(E7-D7)/D7</f>
        <v>1.6431924882629107E-3</v>
      </c>
      <c r="Z5" s="15">
        <f t="shared" si="0"/>
        <v>1.6873681743613781E-3</v>
      </c>
      <c r="AA5" s="15">
        <f t="shared" si="0"/>
        <v>1.6377333770062235E-3</v>
      </c>
      <c r="AB5" s="15">
        <f t="shared" si="0"/>
        <v>3.3168270578342522E-3</v>
      </c>
      <c r="AC5" s="15">
        <f t="shared" si="0"/>
        <v>3.3058620850211855E-3</v>
      </c>
      <c r="AD5" s="15">
        <f t="shared" si="0"/>
        <v>3.2949693707072583E-3</v>
      </c>
      <c r="AE5" s="15">
        <f t="shared" si="0"/>
        <v>3.2841482029696101E-3</v>
      </c>
      <c r="AF5" s="15">
        <f t="shared" si="0"/>
        <v>3.2733978792070079E-3</v>
      </c>
      <c r="AG5" s="15">
        <f t="shared" si="0"/>
        <v>3.2627177059877761E-3</v>
      </c>
      <c r="AH5" s="15">
        <f t="shared" si="0"/>
        <v>3.2521069989006964E-3</v>
      </c>
      <c r="AI5" s="15">
        <f t="shared" si="0"/>
        <v>3.2415650824088025E-3</v>
      </c>
      <c r="AJ5" s="15">
        <f t="shared" si="0"/>
        <v>1.6382998088650222E-3</v>
      </c>
      <c r="AK5" s="15">
        <f t="shared" si="0"/>
        <v>1.5901862789641072E-3</v>
      </c>
      <c r="AL5" s="15">
        <f t="shared" si="0"/>
        <v>1.6330233613064188E-3</v>
      </c>
      <c r="AM5" s="15">
        <f t="shared" si="0"/>
        <v>-1</v>
      </c>
      <c r="AN5" s="117" t="s">
        <v>53</v>
      </c>
      <c r="AO5" s="112">
        <f>+W5</f>
        <v>0.5</v>
      </c>
      <c r="AP5" s="15">
        <f t="shared" ref="AP5:BE5" si="1">+AP17+AP7</f>
        <v>3</v>
      </c>
      <c r="AQ5" s="15">
        <f t="shared" si="1"/>
        <v>3</v>
      </c>
      <c r="AR5" s="15">
        <f t="shared" si="1"/>
        <v>3</v>
      </c>
      <c r="AS5" s="15">
        <f t="shared" si="1"/>
        <v>3</v>
      </c>
      <c r="AT5" s="15">
        <f t="shared" si="1"/>
        <v>3</v>
      </c>
      <c r="AU5" s="15">
        <f t="shared" si="1"/>
        <v>3</v>
      </c>
      <c r="AV5" s="15">
        <f t="shared" si="1"/>
        <v>3</v>
      </c>
      <c r="AW5" s="15">
        <f t="shared" si="1"/>
        <v>3</v>
      </c>
      <c r="AX5" s="15">
        <f t="shared" si="1"/>
        <v>3</v>
      </c>
      <c r="AY5" s="15">
        <f t="shared" si="1"/>
        <v>3</v>
      </c>
      <c r="AZ5" s="15">
        <f t="shared" si="1"/>
        <v>3</v>
      </c>
      <c r="BA5" s="15">
        <f t="shared" si="1"/>
        <v>3</v>
      </c>
      <c r="BB5" s="15">
        <f t="shared" si="1"/>
        <v>3</v>
      </c>
      <c r="BC5" s="15">
        <f t="shared" si="1"/>
        <v>3</v>
      </c>
      <c r="BD5" s="15">
        <f t="shared" si="1"/>
        <v>3</v>
      </c>
      <c r="BE5" s="15">
        <f t="shared" si="1"/>
        <v>3</v>
      </c>
      <c r="BG5" s="117" t="s">
        <v>53</v>
      </c>
      <c r="BH5" s="112">
        <v>0.5</v>
      </c>
      <c r="BI5" s="15"/>
      <c r="BJ5" s="15"/>
      <c r="BK5" s="15"/>
      <c r="BL5" s="15"/>
      <c r="BM5" s="15"/>
      <c r="BN5" s="15"/>
      <c r="BO5" s="15"/>
      <c r="BP5" s="15"/>
      <c r="BQ5" s="15"/>
      <c r="BR5" s="15"/>
      <c r="BS5" s="15"/>
      <c r="BT5" s="15"/>
      <c r="BU5" s="15"/>
      <c r="BV5" s="15"/>
      <c r="BW5" s="15"/>
      <c r="BX5" s="15"/>
    </row>
    <row r="6" spans="1:76" ht="14.25">
      <c r="A6" s="16"/>
      <c r="B6" s="17" t="s">
        <v>58</v>
      </c>
      <c r="C6" s="18">
        <f>'GRA 26-60 Matrices'!C12</f>
        <v>44012</v>
      </c>
      <c r="D6" s="18">
        <f>'GRA 26-60 Matrices'!D12</f>
        <v>44027</v>
      </c>
      <c r="E6" s="18">
        <f>'GRA 26-60 Matrices'!E12</f>
        <v>44043</v>
      </c>
      <c r="F6" s="18">
        <f>'GRA 26-60 Matrices'!F12</f>
        <v>44058</v>
      </c>
      <c r="G6" s="18">
        <f>'GRA 26-60 Matrices'!G12</f>
        <v>44074</v>
      </c>
      <c r="H6" s="18">
        <f>'GRA 26-60 Matrices'!H12</f>
        <v>44104</v>
      </c>
      <c r="I6" s="18">
        <f>'GRA 26-60 Matrices'!I12</f>
        <v>44135</v>
      </c>
      <c r="J6" s="18">
        <f>'GRA 26-60 Matrices'!J12</f>
        <v>44165</v>
      </c>
      <c r="K6" s="18">
        <f>'GRA 26-60 Matrices'!K12</f>
        <v>44196</v>
      </c>
      <c r="L6" s="18">
        <f>'GRA 26-60 Matrices'!L12</f>
        <v>44227</v>
      </c>
      <c r="M6" s="18">
        <f>'GRA 26-60 Matrices'!M12</f>
        <v>44255</v>
      </c>
      <c r="N6" s="18">
        <f>'GRA 26-60 Matrices'!N12</f>
        <v>44286</v>
      </c>
      <c r="O6" s="18">
        <f>'GRA 26-60 Matrices'!O12</f>
        <v>44316</v>
      </c>
      <c r="P6" s="18">
        <f>'GRA 26-60 Matrices'!P12</f>
        <v>44331</v>
      </c>
      <c r="Q6" s="18">
        <f>'GRA 26-60 Matrices'!Q12</f>
        <v>44347</v>
      </c>
      <c r="R6" s="18">
        <f>'GRA 26-60 Matrices'!R12</f>
        <v>44362</v>
      </c>
      <c r="V6" s="118" t="s">
        <v>55</v>
      </c>
      <c r="W6" s="116"/>
      <c r="X6" s="19">
        <f t="shared" ref="X6:AM6" si="2">+C6</f>
        <v>44012</v>
      </c>
      <c r="Y6" s="19">
        <f t="shared" si="2"/>
        <v>44027</v>
      </c>
      <c r="Z6" s="19">
        <f t="shared" si="2"/>
        <v>44043</v>
      </c>
      <c r="AA6" s="19">
        <f t="shared" si="2"/>
        <v>44058</v>
      </c>
      <c r="AB6" s="19">
        <f t="shared" si="2"/>
        <v>44074</v>
      </c>
      <c r="AC6" s="19">
        <f t="shared" si="2"/>
        <v>44104</v>
      </c>
      <c r="AD6" s="19">
        <f t="shared" si="2"/>
        <v>44135</v>
      </c>
      <c r="AE6" s="19">
        <f t="shared" si="2"/>
        <v>44165</v>
      </c>
      <c r="AF6" s="19">
        <f t="shared" si="2"/>
        <v>44196</v>
      </c>
      <c r="AG6" s="19">
        <f t="shared" si="2"/>
        <v>44227</v>
      </c>
      <c r="AH6" s="19">
        <f t="shared" si="2"/>
        <v>44255</v>
      </c>
      <c r="AI6" s="19">
        <f t="shared" si="2"/>
        <v>44286</v>
      </c>
      <c r="AJ6" s="19">
        <f t="shared" si="2"/>
        <v>44316</v>
      </c>
      <c r="AK6" s="19">
        <f t="shared" si="2"/>
        <v>44331</v>
      </c>
      <c r="AL6" s="19">
        <f t="shared" si="2"/>
        <v>44347</v>
      </c>
      <c r="AM6" s="19">
        <f t="shared" si="2"/>
        <v>44362</v>
      </c>
      <c r="AN6" s="115" t="s">
        <v>56</v>
      </c>
      <c r="AO6" s="116"/>
      <c r="AP6" s="19">
        <f t="shared" ref="AP6:BE6" si="3">+X6</f>
        <v>44012</v>
      </c>
      <c r="AQ6" s="19">
        <f t="shared" si="3"/>
        <v>44027</v>
      </c>
      <c r="AR6" s="19">
        <f t="shared" si="3"/>
        <v>44043</v>
      </c>
      <c r="AS6" s="19">
        <f t="shared" si="3"/>
        <v>44058</v>
      </c>
      <c r="AT6" s="19">
        <f t="shared" si="3"/>
        <v>44074</v>
      </c>
      <c r="AU6" s="19">
        <f t="shared" si="3"/>
        <v>44104</v>
      </c>
      <c r="AV6" s="19">
        <f t="shared" si="3"/>
        <v>44135</v>
      </c>
      <c r="AW6" s="19">
        <f t="shared" si="3"/>
        <v>44165</v>
      </c>
      <c r="AX6" s="19">
        <f t="shared" si="3"/>
        <v>44196</v>
      </c>
      <c r="AY6" s="19">
        <f t="shared" si="3"/>
        <v>44227</v>
      </c>
      <c r="AZ6" s="19">
        <f t="shared" si="3"/>
        <v>44255</v>
      </c>
      <c r="BA6" s="19">
        <f t="shared" si="3"/>
        <v>44286</v>
      </c>
      <c r="BB6" s="19">
        <f t="shared" si="3"/>
        <v>44316</v>
      </c>
      <c r="BC6" s="19">
        <f t="shared" si="3"/>
        <v>44331</v>
      </c>
      <c r="BD6" s="19">
        <f t="shared" si="3"/>
        <v>44347</v>
      </c>
      <c r="BE6" s="19">
        <f t="shared" si="3"/>
        <v>44362</v>
      </c>
      <c r="BG6" s="118" t="s">
        <v>57</v>
      </c>
      <c r="BH6" s="119"/>
      <c r="BI6" s="19">
        <v>35064</v>
      </c>
      <c r="BJ6" s="19">
        <v>35095</v>
      </c>
      <c r="BK6" s="19">
        <v>35124</v>
      </c>
      <c r="BL6" s="19">
        <v>35155</v>
      </c>
      <c r="BM6" s="19">
        <v>35185</v>
      </c>
      <c r="BN6" s="19">
        <v>35200</v>
      </c>
      <c r="BO6" s="19">
        <v>35216</v>
      </c>
      <c r="BP6" s="19">
        <v>35231</v>
      </c>
      <c r="BQ6" s="19">
        <v>35246</v>
      </c>
      <c r="BR6" s="19">
        <v>35261</v>
      </c>
      <c r="BS6" s="19">
        <v>35277</v>
      </c>
      <c r="BT6" s="19">
        <v>35292</v>
      </c>
      <c r="BU6" s="19">
        <v>35308</v>
      </c>
      <c r="BV6" s="19">
        <v>35338</v>
      </c>
      <c r="BW6" s="19">
        <v>35369</v>
      </c>
      <c r="BX6" s="19">
        <v>35399</v>
      </c>
    </row>
    <row r="7" spans="1:76">
      <c r="A7" s="10" t="s">
        <v>59</v>
      </c>
      <c r="B7" s="4">
        <v>12</v>
      </c>
      <c r="C7" s="4">
        <f t="shared" ref="C7:R7" si="4">ROUND((($U$1*X$7)+($V$1*X$17)+($U$1*AP$7)+($V$1*AP$17)+($W$1*(3-(AP$7+AP$17)))+($W$1*(9-(X$7+X$17))))*$AO$5,0)</f>
        <v>21264</v>
      </c>
      <c r="D7" s="4">
        <f t="shared" si="4"/>
        <v>21300</v>
      </c>
      <c r="E7" s="4">
        <f t="shared" si="4"/>
        <v>21335</v>
      </c>
      <c r="F7" s="4">
        <f t="shared" si="4"/>
        <v>21371</v>
      </c>
      <c r="G7" s="4">
        <f t="shared" si="4"/>
        <v>21406</v>
      </c>
      <c r="H7" s="4">
        <f t="shared" si="4"/>
        <v>21477</v>
      </c>
      <c r="I7" s="4">
        <f t="shared" si="4"/>
        <v>21548</v>
      </c>
      <c r="J7" s="4">
        <f t="shared" si="4"/>
        <v>21619</v>
      </c>
      <c r="K7" s="4">
        <f t="shared" si="4"/>
        <v>21690</v>
      </c>
      <c r="L7" s="4">
        <f t="shared" si="4"/>
        <v>21761</v>
      </c>
      <c r="M7" s="4">
        <f t="shared" si="4"/>
        <v>21832</v>
      </c>
      <c r="N7" s="4">
        <f t="shared" si="4"/>
        <v>21903</v>
      </c>
      <c r="O7" s="4">
        <f t="shared" si="4"/>
        <v>21974</v>
      </c>
      <c r="P7" s="4">
        <f t="shared" si="4"/>
        <v>22010</v>
      </c>
      <c r="Q7" s="4">
        <f t="shared" si="4"/>
        <v>22045</v>
      </c>
      <c r="R7" s="4">
        <f t="shared" si="4"/>
        <v>22081</v>
      </c>
      <c r="V7" s="4" t="s">
        <v>60</v>
      </c>
      <c r="W7" s="4" t="s">
        <v>61</v>
      </c>
      <c r="X7" s="4">
        <v>9</v>
      </c>
      <c r="Y7" s="4">
        <v>9</v>
      </c>
      <c r="Z7" s="4">
        <v>9</v>
      </c>
      <c r="AA7" s="4">
        <v>9</v>
      </c>
      <c r="AB7" s="4">
        <v>8.5</v>
      </c>
      <c r="AC7" s="4">
        <v>7.5</v>
      </c>
      <c r="AD7" s="4">
        <v>6.5</v>
      </c>
      <c r="AE7" s="4">
        <v>5.5</v>
      </c>
      <c r="AF7" s="4">
        <v>4.5</v>
      </c>
      <c r="AG7" s="4">
        <v>3.5</v>
      </c>
      <c r="AH7" s="4">
        <v>2.5</v>
      </c>
      <c r="AI7" s="4">
        <v>1.5</v>
      </c>
      <c r="AJ7" s="4">
        <v>0.5</v>
      </c>
      <c r="AK7" s="4">
        <v>0</v>
      </c>
      <c r="AL7" s="4">
        <v>0</v>
      </c>
      <c r="AM7" s="4">
        <v>0</v>
      </c>
      <c r="AN7" s="4" t="s">
        <v>60</v>
      </c>
      <c r="AO7" s="4" t="s">
        <v>62</v>
      </c>
      <c r="AP7" s="4">
        <v>3</v>
      </c>
      <c r="AQ7" s="4">
        <v>2.5</v>
      </c>
      <c r="AR7" s="4">
        <v>2</v>
      </c>
      <c r="AS7" s="4">
        <v>1.5</v>
      </c>
      <c r="AT7" s="4">
        <v>1.5</v>
      </c>
      <c r="AU7" s="4">
        <v>1.5</v>
      </c>
      <c r="AV7" s="4">
        <v>1.5</v>
      </c>
      <c r="AW7" s="4">
        <v>1.5</v>
      </c>
      <c r="AX7" s="4">
        <v>1.5</v>
      </c>
      <c r="AY7" s="4">
        <v>1.5</v>
      </c>
      <c r="AZ7" s="4">
        <v>1.5</v>
      </c>
      <c r="BA7" s="4">
        <v>1.5</v>
      </c>
      <c r="BB7" s="4">
        <v>1.5</v>
      </c>
      <c r="BC7" s="4">
        <v>1.5</v>
      </c>
      <c r="BD7" s="4">
        <v>1</v>
      </c>
      <c r="BE7" s="4">
        <v>0.5</v>
      </c>
      <c r="BG7" s="4" t="s">
        <v>60</v>
      </c>
      <c r="BH7" s="4" t="s">
        <v>63</v>
      </c>
      <c r="BI7" s="4">
        <f t="shared" ref="BI7:BX7" si="5">9-(X7+X17)</f>
        <v>0</v>
      </c>
      <c r="BJ7" s="4">
        <f t="shared" si="5"/>
        <v>0</v>
      </c>
      <c r="BK7" s="4">
        <f t="shared" si="5"/>
        <v>0</v>
      </c>
      <c r="BL7" s="4">
        <f t="shared" si="5"/>
        <v>0</v>
      </c>
      <c r="BM7" s="4">
        <f t="shared" si="5"/>
        <v>0</v>
      </c>
      <c r="BN7" s="4">
        <f t="shared" si="5"/>
        <v>0</v>
      </c>
      <c r="BO7" s="4">
        <f t="shared" si="5"/>
        <v>0</v>
      </c>
      <c r="BP7" s="4">
        <f t="shared" si="5"/>
        <v>0</v>
      </c>
      <c r="BQ7" s="4">
        <f t="shared" si="5"/>
        <v>0</v>
      </c>
      <c r="BR7" s="4">
        <f t="shared" si="5"/>
        <v>0</v>
      </c>
      <c r="BS7" s="4">
        <f t="shared" si="5"/>
        <v>0</v>
      </c>
      <c r="BT7" s="4">
        <f t="shared" si="5"/>
        <v>0</v>
      </c>
      <c r="BU7" s="4">
        <f t="shared" si="5"/>
        <v>0</v>
      </c>
      <c r="BV7" s="4">
        <f t="shared" si="5"/>
        <v>0</v>
      </c>
      <c r="BW7" s="4">
        <f t="shared" si="5"/>
        <v>0</v>
      </c>
      <c r="BX7" s="4">
        <f t="shared" si="5"/>
        <v>0</v>
      </c>
    </row>
    <row r="8" spans="1:76">
      <c r="A8" s="10" t="s">
        <v>64</v>
      </c>
      <c r="B8" s="4">
        <v>11</v>
      </c>
      <c r="C8" s="4">
        <f t="shared" ref="C8:R8" si="6">ROUND((($U$1*X$8)+($V$1*X$18)+($U$1*AP$8)+($V$1*AP$18)+($W$1*(2-(AP$8+AP$18)))+($W$1*(9-(X$8+X$18))))*$AO$5,0)</f>
        <v>19492</v>
      </c>
      <c r="D8" s="4">
        <f t="shared" si="6"/>
        <v>19492</v>
      </c>
      <c r="E8" s="4">
        <f t="shared" si="6"/>
        <v>19492</v>
      </c>
      <c r="F8" s="4">
        <f t="shared" si="6"/>
        <v>19528</v>
      </c>
      <c r="G8" s="4">
        <f t="shared" si="6"/>
        <v>19563</v>
      </c>
      <c r="H8" s="4">
        <f t="shared" si="6"/>
        <v>19634</v>
      </c>
      <c r="I8" s="4">
        <f t="shared" si="6"/>
        <v>19705</v>
      </c>
      <c r="J8" s="4">
        <f t="shared" si="6"/>
        <v>19776</v>
      </c>
      <c r="K8" s="4">
        <f t="shared" si="6"/>
        <v>19847</v>
      </c>
      <c r="L8" s="4">
        <f t="shared" si="6"/>
        <v>19918</v>
      </c>
      <c r="M8" s="4">
        <f t="shared" si="6"/>
        <v>19989</v>
      </c>
      <c r="N8" s="4">
        <f t="shared" si="6"/>
        <v>20060</v>
      </c>
      <c r="O8" s="4">
        <f t="shared" si="6"/>
        <v>20131</v>
      </c>
      <c r="P8" s="4">
        <f t="shared" si="6"/>
        <v>20167</v>
      </c>
      <c r="Q8" s="4">
        <f t="shared" si="6"/>
        <v>20202</v>
      </c>
      <c r="R8" s="4">
        <f t="shared" si="6"/>
        <v>20238</v>
      </c>
      <c r="V8" s="4" t="s">
        <v>65</v>
      </c>
      <c r="W8" s="4" t="s">
        <v>66</v>
      </c>
      <c r="X8" s="4">
        <v>9</v>
      </c>
      <c r="Y8" s="4">
        <v>9</v>
      </c>
      <c r="Z8" s="4">
        <v>9</v>
      </c>
      <c r="AA8" s="4">
        <v>9</v>
      </c>
      <c r="AB8" s="4">
        <v>8.5</v>
      </c>
      <c r="AC8" s="4">
        <v>7.5</v>
      </c>
      <c r="AD8" s="4">
        <v>6.5</v>
      </c>
      <c r="AE8" s="4">
        <v>5.5</v>
      </c>
      <c r="AF8" s="4">
        <v>4.5</v>
      </c>
      <c r="AG8" s="4">
        <v>3.5</v>
      </c>
      <c r="AH8" s="4">
        <v>2.5</v>
      </c>
      <c r="AI8" s="4">
        <v>1.5</v>
      </c>
      <c r="AJ8" s="4">
        <v>0.5</v>
      </c>
      <c r="AK8" s="4">
        <v>0</v>
      </c>
      <c r="AL8" s="4">
        <v>0</v>
      </c>
      <c r="AM8" s="4">
        <v>0</v>
      </c>
      <c r="AN8" s="4" t="s">
        <v>65</v>
      </c>
      <c r="AO8" s="4" t="s">
        <v>62</v>
      </c>
      <c r="AP8" s="4">
        <v>2</v>
      </c>
      <c r="AQ8" s="4">
        <v>2</v>
      </c>
      <c r="AR8" s="4">
        <v>2</v>
      </c>
      <c r="AS8" s="4">
        <v>1.5</v>
      </c>
      <c r="AT8" s="4">
        <v>1.5</v>
      </c>
      <c r="AU8" s="4">
        <v>1.5</v>
      </c>
      <c r="AV8" s="4">
        <v>1.5</v>
      </c>
      <c r="AW8" s="4">
        <v>1.5</v>
      </c>
      <c r="AX8" s="4">
        <v>1.5</v>
      </c>
      <c r="AY8" s="4">
        <v>1.5</v>
      </c>
      <c r="AZ8" s="4">
        <v>1.5</v>
      </c>
      <c r="BA8" s="4">
        <v>1.5</v>
      </c>
      <c r="BB8" s="4">
        <v>1.5</v>
      </c>
      <c r="BC8" s="4">
        <v>1.5</v>
      </c>
      <c r="BD8" s="4">
        <v>1</v>
      </c>
      <c r="BE8" s="4">
        <v>0.5</v>
      </c>
      <c r="BG8" s="4" t="s">
        <v>65</v>
      </c>
      <c r="BH8" s="4" t="s">
        <v>67</v>
      </c>
      <c r="BI8" s="4">
        <v>9</v>
      </c>
      <c r="BJ8" s="4">
        <v>8</v>
      </c>
      <c r="BK8" s="4">
        <v>7</v>
      </c>
      <c r="BL8" s="4">
        <v>6</v>
      </c>
      <c r="BM8" s="4">
        <v>5</v>
      </c>
      <c r="BN8" s="4">
        <v>4.5</v>
      </c>
      <c r="BO8" s="4">
        <v>4.5</v>
      </c>
      <c r="BP8" s="4">
        <v>4.5</v>
      </c>
      <c r="BQ8" s="4">
        <v>4.5</v>
      </c>
      <c r="BR8" s="4">
        <v>4.5</v>
      </c>
      <c r="BS8" s="4">
        <v>4.5</v>
      </c>
      <c r="BT8" s="4">
        <v>4.5</v>
      </c>
      <c r="BU8" s="4">
        <v>4</v>
      </c>
      <c r="BV8" s="4">
        <v>3</v>
      </c>
      <c r="BW8" s="4">
        <v>2</v>
      </c>
      <c r="BX8" s="4">
        <v>1</v>
      </c>
    </row>
    <row r="9" spans="1:76">
      <c r="A9" s="10" t="s">
        <v>68</v>
      </c>
      <c r="B9" s="4">
        <v>10</v>
      </c>
      <c r="C9" s="4">
        <f>ROUND((($U$1*X$9)+($V$1*X$19)+($U$1*AP$9)+($V$1*AP$19)+($W$1*(1-(AP$9+AP$19)))+($W$1*(9-(X$9+X$19))))*$AO$5,0)</f>
        <v>17720</v>
      </c>
      <c r="D9" s="4">
        <f t="shared" ref="D9:R9" si="7">ROUND((($U$1*Y9)+($V$1*Y19)+($U$1*AQ9)+($V$1*AQ19)+($W$1*(1-(AQ9+AQ19)))+($W$1*(9-(Y9+Y19))))*$AO$5,0)</f>
        <v>17720</v>
      </c>
      <c r="E9" s="4">
        <f t="shared" si="7"/>
        <v>17720</v>
      </c>
      <c r="F9" s="4">
        <f t="shared" si="7"/>
        <v>17720</v>
      </c>
      <c r="G9" s="4">
        <f t="shared" si="7"/>
        <v>17756</v>
      </c>
      <c r="H9" s="4">
        <f t="shared" si="7"/>
        <v>17827</v>
      </c>
      <c r="I9" s="4">
        <f t="shared" si="7"/>
        <v>17898</v>
      </c>
      <c r="J9" s="4">
        <f t="shared" si="7"/>
        <v>17969</v>
      </c>
      <c r="K9" s="4">
        <f t="shared" si="7"/>
        <v>18040</v>
      </c>
      <c r="L9" s="4">
        <f t="shared" si="7"/>
        <v>18111</v>
      </c>
      <c r="M9" s="4">
        <f t="shared" si="7"/>
        <v>18182</v>
      </c>
      <c r="N9" s="4">
        <f t="shared" si="7"/>
        <v>18253</v>
      </c>
      <c r="O9" s="4">
        <f t="shared" si="7"/>
        <v>18324</v>
      </c>
      <c r="P9" s="4">
        <f t="shared" si="7"/>
        <v>18359</v>
      </c>
      <c r="Q9" s="4">
        <f t="shared" si="7"/>
        <v>18359</v>
      </c>
      <c r="R9" s="4">
        <f t="shared" si="7"/>
        <v>18395</v>
      </c>
      <c r="V9" s="4" t="s">
        <v>69</v>
      </c>
      <c r="W9" s="4" t="s">
        <v>66</v>
      </c>
      <c r="X9" s="4">
        <v>9</v>
      </c>
      <c r="Y9" s="4">
        <v>9</v>
      </c>
      <c r="Z9" s="4">
        <v>9</v>
      </c>
      <c r="AA9" s="4">
        <v>9</v>
      </c>
      <c r="AB9" s="4">
        <v>8.5</v>
      </c>
      <c r="AC9" s="4">
        <v>7.5</v>
      </c>
      <c r="AD9" s="4">
        <v>6.5</v>
      </c>
      <c r="AE9" s="4">
        <v>5.5</v>
      </c>
      <c r="AF9" s="4">
        <v>4.5</v>
      </c>
      <c r="AG9" s="4">
        <v>3.5</v>
      </c>
      <c r="AH9" s="4">
        <v>2.5</v>
      </c>
      <c r="AI9" s="4">
        <v>1.5</v>
      </c>
      <c r="AJ9" s="4">
        <v>0.5</v>
      </c>
      <c r="AK9" s="4">
        <v>0</v>
      </c>
      <c r="AL9" s="4">
        <v>0</v>
      </c>
      <c r="AM9" s="4">
        <v>0</v>
      </c>
      <c r="AN9" s="4" t="s">
        <v>69</v>
      </c>
      <c r="AO9" s="4" t="s">
        <v>62</v>
      </c>
      <c r="AP9" s="4">
        <v>1</v>
      </c>
      <c r="AQ9" s="4">
        <v>1</v>
      </c>
      <c r="AR9" s="4">
        <v>1</v>
      </c>
      <c r="AS9" s="4">
        <v>1</v>
      </c>
      <c r="AT9" s="4">
        <v>1</v>
      </c>
      <c r="AU9" s="4">
        <v>1</v>
      </c>
      <c r="AV9" s="4">
        <v>1</v>
      </c>
      <c r="AW9" s="4">
        <v>1</v>
      </c>
      <c r="AX9" s="4">
        <v>1</v>
      </c>
      <c r="AY9" s="4">
        <v>1</v>
      </c>
      <c r="AZ9" s="4">
        <v>1</v>
      </c>
      <c r="BA9" s="4">
        <v>1</v>
      </c>
      <c r="BB9" s="4">
        <v>1</v>
      </c>
      <c r="BC9" s="4">
        <v>1</v>
      </c>
      <c r="BD9" s="4">
        <v>1</v>
      </c>
      <c r="BE9" s="4">
        <v>0.5</v>
      </c>
      <c r="BG9" s="4" t="s">
        <v>69</v>
      </c>
      <c r="BH9" s="4" t="s">
        <v>67</v>
      </c>
      <c r="BI9" s="4">
        <v>9</v>
      </c>
      <c r="BJ9" s="4">
        <v>8</v>
      </c>
      <c r="BK9" s="4">
        <v>7</v>
      </c>
      <c r="BL9" s="4">
        <v>6</v>
      </c>
      <c r="BM9" s="4">
        <v>5</v>
      </c>
      <c r="BN9" s="4">
        <v>4.5</v>
      </c>
      <c r="BO9" s="4">
        <v>4.5</v>
      </c>
      <c r="BP9" s="4">
        <v>4.5</v>
      </c>
      <c r="BQ9" s="4">
        <v>4.5</v>
      </c>
      <c r="BR9" s="4">
        <v>4.5</v>
      </c>
      <c r="BS9" s="4">
        <v>4.5</v>
      </c>
      <c r="BT9" s="4">
        <v>4.5</v>
      </c>
      <c r="BU9" s="4">
        <v>4</v>
      </c>
      <c r="BV9" s="4">
        <v>3</v>
      </c>
      <c r="BW9" s="4">
        <v>2</v>
      </c>
      <c r="BX9" s="4">
        <v>1</v>
      </c>
    </row>
    <row r="10" spans="1:76">
      <c r="A10" s="10" t="s">
        <v>70</v>
      </c>
      <c r="B10" s="4">
        <v>9</v>
      </c>
      <c r="C10" s="4">
        <f>ROUND((($U$1*X$10)+($V$1*X$20)+($U$1*AP$10)+($V$1*AP$20)+($W$1*(0-(AP$10+AP$20)))+($W$1*(9-(X$10+X$20))))*$AO$5,0)</f>
        <v>15948</v>
      </c>
      <c r="D10" s="4">
        <f t="shared" ref="D10:R10" si="8">ROUND((($U$1*Y10)+($V$1*Y20)+($U$1*AQ10)+($V$1*AQ20)+($W$1*(0-(AQ10+AQ20)))+($W$1*(9-(Y10+Y20))))*$AO$5,0)</f>
        <v>15948</v>
      </c>
      <c r="E10" s="4">
        <f t="shared" si="8"/>
        <v>15948</v>
      </c>
      <c r="F10" s="4">
        <f t="shared" si="8"/>
        <v>15948</v>
      </c>
      <c r="G10" s="4">
        <f t="shared" si="8"/>
        <v>15984</v>
      </c>
      <c r="H10" s="4">
        <f t="shared" si="8"/>
        <v>16055</v>
      </c>
      <c r="I10" s="4">
        <f t="shared" si="8"/>
        <v>16126</v>
      </c>
      <c r="J10" s="4">
        <f t="shared" si="8"/>
        <v>16197</v>
      </c>
      <c r="K10" s="4">
        <f t="shared" si="8"/>
        <v>16268</v>
      </c>
      <c r="L10" s="4">
        <f t="shared" si="8"/>
        <v>16339</v>
      </c>
      <c r="M10" s="4">
        <f t="shared" si="8"/>
        <v>16410</v>
      </c>
      <c r="N10" s="4">
        <f t="shared" si="8"/>
        <v>16481</v>
      </c>
      <c r="O10" s="4">
        <f t="shared" si="8"/>
        <v>16552</v>
      </c>
      <c r="P10" s="4">
        <f t="shared" si="8"/>
        <v>16587</v>
      </c>
      <c r="Q10" s="4">
        <f t="shared" si="8"/>
        <v>16587</v>
      </c>
      <c r="R10" s="4">
        <f t="shared" si="8"/>
        <v>16587</v>
      </c>
      <c r="V10" s="4" t="s">
        <v>71</v>
      </c>
      <c r="W10" s="4" t="s">
        <v>66</v>
      </c>
      <c r="X10" s="4">
        <v>9</v>
      </c>
      <c r="Y10" s="4">
        <v>9</v>
      </c>
      <c r="Z10" s="4">
        <v>9</v>
      </c>
      <c r="AA10" s="4">
        <v>9</v>
      </c>
      <c r="AB10" s="4">
        <v>8.5</v>
      </c>
      <c r="AC10" s="4">
        <v>7.5</v>
      </c>
      <c r="AD10" s="4">
        <v>6.5</v>
      </c>
      <c r="AE10" s="4">
        <v>5.5</v>
      </c>
      <c r="AF10" s="4">
        <v>4.5</v>
      </c>
      <c r="AG10" s="4">
        <v>3.5</v>
      </c>
      <c r="AH10" s="4">
        <v>2.5</v>
      </c>
      <c r="AI10" s="4">
        <v>1.5</v>
      </c>
      <c r="AJ10" s="4">
        <v>0.5</v>
      </c>
      <c r="AK10" s="4">
        <v>0</v>
      </c>
      <c r="AL10" s="4">
        <v>0</v>
      </c>
      <c r="AM10" s="4">
        <v>0</v>
      </c>
      <c r="AN10" s="4" t="s">
        <v>71</v>
      </c>
      <c r="AO10" s="4" t="s">
        <v>62</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G10" s="4" t="s">
        <v>71</v>
      </c>
      <c r="BH10" s="4" t="s">
        <v>67</v>
      </c>
      <c r="BI10" s="4">
        <v>9</v>
      </c>
      <c r="BJ10" s="4">
        <v>8</v>
      </c>
      <c r="BK10" s="4">
        <v>7</v>
      </c>
      <c r="BL10" s="4">
        <v>6</v>
      </c>
      <c r="BM10" s="4">
        <v>5</v>
      </c>
      <c r="BN10" s="4">
        <v>4.5</v>
      </c>
      <c r="BO10" s="4">
        <v>4.5</v>
      </c>
      <c r="BP10" s="4">
        <v>4.5</v>
      </c>
      <c r="BQ10" s="4">
        <v>4.5</v>
      </c>
      <c r="BR10" s="4">
        <v>4.5</v>
      </c>
      <c r="BS10" s="4">
        <v>4.5</v>
      </c>
      <c r="BT10" s="4">
        <v>4.5</v>
      </c>
      <c r="BU10" s="4">
        <v>4</v>
      </c>
      <c r="BV10" s="4">
        <v>3</v>
      </c>
      <c r="BW10" s="4">
        <v>2</v>
      </c>
      <c r="BX10" s="4">
        <v>1</v>
      </c>
    </row>
    <row r="11" spans="1:76">
      <c r="A11" s="10" t="s">
        <v>72</v>
      </c>
      <c r="B11" s="4">
        <v>3</v>
      </c>
      <c r="C11" s="4">
        <f>ROUND((($U$1*X$11)+($V$1*X$21)+($U$1*AP$11)+($V$1*AP$21)+($W$1*(3-(AP$11+AP$21)))+($W$1*(0-(X$11+X$21))))*$AO$5,0)</f>
        <v>5316</v>
      </c>
      <c r="D11" s="4">
        <f t="shared" ref="D11:R11" si="9">ROUND((($U$1*Y11)+($V$1*Y21)+($U$1*AQ11)+($V$1*AQ21)+($W$1*(3-(AQ11+AQ21)))+($W$1*(0-(Y11+Y21))))*$AO$5,0)</f>
        <v>5352</v>
      </c>
      <c r="E11" s="4">
        <f t="shared" si="9"/>
        <v>5387</v>
      </c>
      <c r="F11" s="4">
        <f t="shared" si="9"/>
        <v>5423</v>
      </c>
      <c r="G11" s="4">
        <f t="shared" si="9"/>
        <v>5423</v>
      </c>
      <c r="H11" s="4">
        <f t="shared" si="9"/>
        <v>5423</v>
      </c>
      <c r="I11" s="4">
        <f t="shared" si="9"/>
        <v>5423</v>
      </c>
      <c r="J11" s="4">
        <f t="shared" si="9"/>
        <v>5423</v>
      </c>
      <c r="K11" s="4">
        <f t="shared" si="9"/>
        <v>5423</v>
      </c>
      <c r="L11" s="4">
        <f t="shared" si="9"/>
        <v>5423</v>
      </c>
      <c r="M11" s="4">
        <f t="shared" si="9"/>
        <v>5423</v>
      </c>
      <c r="N11" s="4">
        <f t="shared" si="9"/>
        <v>5423</v>
      </c>
      <c r="O11" s="4">
        <f t="shared" si="9"/>
        <v>5423</v>
      </c>
      <c r="P11" s="4">
        <f t="shared" si="9"/>
        <v>5423</v>
      </c>
      <c r="Q11" s="4">
        <f t="shared" si="9"/>
        <v>5458</v>
      </c>
      <c r="R11" s="4">
        <f t="shared" si="9"/>
        <v>5494</v>
      </c>
      <c r="V11" s="4" t="s">
        <v>73</v>
      </c>
      <c r="W11" s="4" t="s">
        <v>62</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t="s">
        <v>73</v>
      </c>
      <c r="AO11" s="4" t="s">
        <v>62</v>
      </c>
      <c r="AP11" s="4">
        <v>3</v>
      </c>
      <c r="AQ11" s="4">
        <v>2.5</v>
      </c>
      <c r="AR11" s="4">
        <v>2</v>
      </c>
      <c r="AS11" s="4">
        <v>1.5</v>
      </c>
      <c r="AT11" s="4">
        <v>1.5</v>
      </c>
      <c r="AU11" s="4">
        <v>1.5</v>
      </c>
      <c r="AV11" s="4">
        <v>1.5</v>
      </c>
      <c r="AW11" s="4">
        <v>1.5</v>
      </c>
      <c r="AX11" s="4">
        <v>1.5</v>
      </c>
      <c r="AY11" s="4">
        <v>1.5</v>
      </c>
      <c r="AZ11" s="4">
        <v>1.5</v>
      </c>
      <c r="BA11" s="4">
        <v>1.5</v>
      </c>
      <c r="BB11" s="4">
        <v>1.5</v>
      </c>
      <c r="BC11" s="4">
        <v>1.5</v>
      </c>
      <c r="BD11" s="4">
        <v>1</v>
      </c>
      <c r="BE11" s="4">
        <v>0.5</v>
      </c>
      <c r="BG11" s="4" t="s">
        <v>73</v>
      </c>
      <c r="BH11" s="4" t="s">
        <v>74</v>
      </c>
      <c r="BI11" s="4">
        <v>0</v>
      </c>
      <c r="BJ11" s="4">
        <v>0</v>
      </c>
      <c r="BK11" s="4">
        <v>0</v>
      </c>
      <c r="BL11" s="4">
        <v>0</v>
      </c>
      <c r="BM11" s="4">
        <v>0</v>
      </c>
      <c r="BN11" s="4">
        <v>0</v>
      </c>
      <c r="BO11" s="4">
        <v>0</v>
      </c>
      <c r="BP11" s="4">
        <v>0</v>
      </c>
      <c r="BQ11" s="4">
        <v>0</v>
      </c>
      <c r="BR11" s="4">
        <v>0</v>
      </c>
      <c r="BS11" s="4">
        <v>0</v>
      </c>
      <c r="BT11" s="4">
        <v>0</v>
      </c>
      <c r="BU11" s="4">
        <v>0</v>
      </c>
      <c r="BV11" s="4">
        <v>0</v>
      </c>
      <c r="BW11" s="4">
        <v>0</v>
      </c>
      <c r="BX11" s="4">
        <v>0</v>
      </c>
    </row>
    <row r="12" spans="1:76">
      <c r="A12" s="10" t="s">
        <v>75</v>
      </c>
      <c r="B12" s="4">
        <v>2</v>
      </c>
      <c r="C12" s="4">
        <f>ROUND((($U$1*X$12)+($V$1*X$22)+($U$1*AP$12)+($V$1*AP$22)+($W$1*(2-(AP$12+AP$22)))+($W$1*(0-(X$12+X$22))))*$AO$5,0)</f>
        <v>3544</v>
      </c>
      <c r="D12" s="4">
        <f t="shared" ref="D12:R12" si="10">ROUND((($U$1*Y12)+($V$1*Y22)+($U$1*AQ12)+($V$1*AQ22)+($W$1*(2-(AQ12+AQ22)))+($W$1*(0-(Y12+Y22))))*$AO$5,0)</f>
        <v>3544</v>
      </c>
      <c r="E12" s="4">
        <f t="shared" si="10"/>
        <v>3544</v>
      </c>
      <c r="F12" s="4">
        <f t="shared" si="10"/>
        <v>3580</v>
      </c>
      <c r="G12" s="4">
        <f t="shared" si="10"/>
        <v>3580</v>
      </c>
      <c r="H12" s="4">
        <f t="shared" si="10"/>
        <v>3580</v>
      </c>
      <c r="I12" s="4">
        <f t="shared" si="10"/>
        <v>3580</v>
      </c>
      <c r="J12" s="4">
        <f t="shared" si="10"/>
        <v>3580</v>
      </c>
      <c r="K12" s="4">
        <f t="shared" si="10"/>
        <v>3580</v>
      </c>
      <c r="L12" s="4">
        <f t="shared" si="10"/>
        <v>3580</v>
      </c>
      <c r="M12" s="4">
        <f t="shared" si="10"/>
        <v>3580</v>
      </c>
      <c r="N12" s="4">
        <f t="shared" si="10"/>
        <v>3580</v>
      </c>
      <c r="O12" s="4">
        <f t="shared" si="10"/>
        <v>3580</v>
      </c>
      <c r="P12" s="4">
        <f t="shared" si="10"/>
        <v>3580</v>
      </c>
      <c r="Q12" s="4">
        <f t="shared" si="10"/>
        <v>3615</v>
      </c>
      <c r="R12" s="4">
        <f t="shared" si="10"/>
        <v>3651</v>
      </c>
      <c r="V12" s="4" t="s">
        <v>76</v>
      </c>
      <c r="W12" s="4" t="s">
        <v>62</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t="s">
        <v>76</v>
      </c>
      <c r="AO12" s="4" t="s">
        <v>62</v>
      </c>
      <c r="AP12" s="4">
        <v>2</v>
      </c>
      <c r="AQ12" s="4">
        <v>2</v>
      </c>
      <c r="AR12" s="4">
        <v>2</v>
      </c>
      <c r="AS12" s="4">
        <v>1.5</v>
      </c>
      <c r="AT12" s="4">
        <v>1.5</v>
      </c>
      <c r="AU12" s="4">
        <v>1.5</v>
      </c>
      <c r="AV12" s="4">
        <v>1.5</v>
      </c>
      <c r="AW12" s="4">
        <v>1.5</v>
      </c>
      <c r="AX12" s="4">
        <v>1.5</v>
      </c>
      <c r="AY12" s="4">
        <v>1.5</v>
      </c>
      <c r="AZ12" s="4">
        <v>1.5</v>
      </c>
      <c r="BA12" s="4">
        <v>1.5</v>
      </c>
      <c r="BB12" s="4">
        <v>1.5</v>
      </c>
      <c r="BC12" s="4">
        <v>1.5</v>
      </c>
      <c r="BD12" s="4">
        <v>1</v>
      </c>
      <c r="BE12" s="4">
        <v>0.5</v>
      </c>
      <c r="BG12" s="4" t="s">
        <v>76</v>
      </c>
      <c r="BH12" s="4" t="s">
        <v>74</v>
      </c>
      <c r="BI12" s="4">
        <v>0</v>
      </c>
      <c r="BJ12" s="4">
        <v>0</v>
      </c>
      <c r="BK12" s="4">
        <v>0</v>
      </c>
      <c r="BL12" s="4">
        <v>0</v>
      </c>
      <c r="BM12" s="4">
        <v>0</v>
      </c>
      <c r="BN12" s="4">
        <v>0</v>
      </c>
      <c r="BO12" s="4">
        <v>0</v>
      </c>
      <c r="BP12" s="4">
        <v>0</v>
      </c>
      <c r="BQ12" s="4">
        <v>0</v>
      </c>
      <c r="BR12" s="4">
        <v>0</v>
      </c>
      <c r="BS12" s="4">
        <v>0</v>
      </c>
      <c r="BT12" s="4">
        <v>0</v>
      </c>
      <c r="BU12" s="4">
        <v>0</v>
      </c>
      <c r="BV12" s="4">
        <v>0</v>
      </c>
      <c r="BW12" s="4">
        <v>0</v>
      </c>
      <c r="BX12" s="4">
        <v>0</v>
      </c>
    </row>
    <row r="13" spans="1:76">
      <c r="A13" s="10" t="s">
        <v>77</v>
      </c>
      <c r="B13" s="4">
        <v>1</v>
      </c>
      <c r="C13" s="4">
        <f>ROUND((($U$1*X$13)+($V$1*X$23)+($U$1*AP$13)+($V$1*AP$23)+($W$1*(1-(AP$13+AP$23)))+($W$1*(0-(X$13+X$23))))*$AO$5,0)</f>
        <v>1772</v>
      </c>
      <c r="D13" s="4">
        <f t="shared" ref="D13:R13" si="11">ROUND((($U$1*Y13)+($V$1*Y23)+($U$1*AQ13)+($V$1*AQ23)+($W$1*(1-(AQ13+AQ23)))+($W$1*(0-(Y13+Y23))))*$AO$5,0)</f>
        <v>1772</v>
      </c>
      <c r="E13" s="4">
        <f t="shared" si="11"/>
        <v>1772</v>
      </c>
      <c r="F13" s="4">
        <f t="shared" si="11"/>
        <v>1772</v>
      </c>
      <c r="G13" s="4">
        <f t="shared" si="11"/>
        <v>1772</v>
      </c>
      <c r="H13" s="4">
        <f t="shared" si="11"/>
        <v>1772</v>
      </c>
      <c r="I13" s="4">
        <f t="shared" si="11"/>
        <v>1772</v>
      </c>
      <c r="J13" s="4">
        <f t="shared" si="11"/>
        <v>1772</v>
      </c>
      <c r="K13" s="4">
        <f t="shared" si="11"/>
        <v>1772</v>
      </c>
      <c r="L13" s="4">
        <f t="shared" si="11"/>
        <v>1772</v>
      </c>
      <c r="M13" s="4">
        <f t="shared" si="11"/>
        <v>1772</v>
      </c>
      <c r="N13" s="4">
        <f t="shared" si="11"/>
        <v>1772</v>
      </c>
      <c r="O13" s="4">
        <f t="shared" si="11"/>
        <v>1772</v>
      </c>
      <c r="P13" s="4">
        <f t="shared" si="11"/>
        <v>1772</v>
      </c>
      <c r="Q13" s="4">
        <f t="shared" si="11"/>
        <v>1772</v>
      </c>
      <c r="R13" s="4">
        <f t="shared" si="11"/>
        <v>1808</v>
      </c>
      <c r="V13" s="4" t="s">
        <v>78</v>
      </c>
      <c r="W13" s="4" t="s">
        <v>62</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t="s">
        <v>78</v>
      </c>
      <c r="AO13" s="4" t="s">
        <v>62</v>
      </c>
      <c r="AP13" s="4">
        <v>1</v>
      </c>
      <c r="AQ13" s="4">
        <v>1</v>
      </c>
      <c r="AR13" s="4">
        <v>1</v>
      </c>
      <c r="AS13" s="4">
        <v>1</v>
      </c>
      <c r="AT13" s="4">
        <v>1</v>
      </c>
      <c r="AU13" s="4">
        <v>1</v>
      </c>
      <c r="AV13" s="4">
        <v>1</v>
      </c>
      <c r="AW13" s="4">
        <v>1</v>
      </c>
      <c r="AX13" s="4">
        <v>1</v>
      </c>
      <c r="AY13" s="4">
        <v>1</v>
      </c>
      <c r="AZ13" s="4">
        <v>1</v>
      </c>
      <c r="BA13" s="4">
        <v>1</v>
      </c>
      <c r="BB13" s="4">
        <v>1</v>
      </c>
      <c r="BC13" s="4">
        <v>1</v>
      </c>
      <c r="BD13" s="4">
        <v>1</v>
      </c>
      <c r="BE13" s="4">
        <v>0.5</v>
      </c>
      <c r="BG13" s="4" t="s">
        <v>78</v>
      </c>
      <c r="BH13" s="4" t="s">
        <v>74</v>
      </c>
      <c r="BI13" s="4">
        <v>0</v>
      </c>
      <c r="BJ13" s="4">
        <v>0</v>
      </c>
      <c r="BK13" s="4">
        <v>0</v>
      </c>
      <c r="BL13" s="4">
        <v>0</v>
      </c>
      <c r="BM13" s="4">
        <v>0</v>
      </c>
      <c r="BN13" s="4">
        <v>0</v>
      </c>
      <c r="BO13" s="4">
        <v>0</v>
      </c>
      <c r="BP13" s="4">
        <v>0</v>
      </c>
      <c r="BQ13" s="4">
        <v>0</v>
      </c>
      <c r="BR13" s="4">
        <v>0</v>
      </c>
      <c r="BS13" s="4">
        <v>0</v>
      </c>
      <c r="BT13" s="4">
        <v>0</v>
      </c>
      <c r="BU13" s="4">
        <v>0</v>
      </c>
      <c r="BV13" s="4">
        <v>0</v>
      </c>
      <c r="BW13" s="4">
        <v>0</v>
      </c>
      <c r="BX13" s="4">
        <v>0</v>
      </c>
    </row>
    <row r="14" spans="1:76">
      <c r="AN14" s="117" t="s">
        <v>53</v>
      </c>
      <c r="AO14" s="120">
        <f>+W5</f>
        <v>0.5</v>
      </c>
    </row>
    <row r="15" spans="1:76" ht="15.75">
      <c r="A15" s="111" t="s">
        <v>267</v>
      </c>
      <c r="B15" s="12"/>
      <c r="C15" s="1"/>
      <c r="D15" s="1"/>
      <c r="E15" s="1"/>
      <c r="F15" s="1"/>
      <c r="G15" s="1"/>
      <c r="H15" s="1"/>
      <c r="I15" s="1"/>
      <c r="J15" s="1"/>
      <c r="K15" s="1"/>
      <c r="L15" s="1"/>
      <c r="M15" s="1"/>
      <c r="N15" s="1"/>
      <c r="O15" s="1"/>
      <c r="P15" s="1"/>
      <c r="Q15" s="1"/>
      <c r="R15" s="1"/>
      <c r="V15" s="114" t="s">
        <v>53</v>
      </c>
      <c r="W15" s="113">
        <f>+W5</f>
        <v>0.5</v>
      </c>
      <c r="AN15" s="110"/>
      <c r="AO15" s="115"/>
      <c r="AP15" s="110">
        <f t="shared" ref="AP15:BE15" si="12">+X16</f>
        <v>44012</v>
      </c>
      <c r="AQ15" s="110">
        <f t="shared" si="12"/>
        <v>44027</v>
      </c>
      <c r="AR15" s="110">
        <f t="shared" si="12"/>
        <v>44043</v>
      </c>
      <c r="AS15" s="110">
        <f t="shared" si="12"/>
        <v>44058</v>
      </c>
      <c r="AT15" s="110">
        <f t="shared" si="12"/>
        <v>44074</v>
      </c>
      <c r="AU15" s="110">
        <f t="shared" si="12"/>
        <v>44104</v>
      </c>
      <c r="AV15" s="110">
        <f t="shared" si="12"/>
        <v>44135</v>
      </c>
      <c r="AW15" s="110">
        <f t="shared" si="12"/>
        <v>44165</v>
      </c>
      <c r="AX15" s="110">
        <f t="shared" si="12"/>
        <v>44196</v>
      </c>
      <c r="AY15" s="110">
        <f t="shared" si="12"/>
        <v>44227</v>
      </c>
      <c r="AZ15" s="110">
        <f t="shared" si="12"/>
        <v>44255</v>
      </c>
      <c r="BA15" s="110">
        <f t="shared" si="12"/>
        <v>44286</v>
      </c>
      <c r="BB15" s="110">
        <f t="shared" si="12"/>
        <v>44316</v>
      </c>
      <c r="BC15" s="110">
        <f t="shared" si="12"/>
        <v>44331</v>
      </c>
      <c r="BD15" s="110">
        <f t="shared" si="12"/>
        <v>44347</v>
      </c>
      <c r="BE15" s="110">
        <f t="shared" si="12"/>
        <v>44362</v>
      </c>
    </row>
    <row r="16" spans="1:76" ht="16.5">
      <c r="A16" s="11"/>
      <c r="B16" s="13" t="s">
        <v>54</v>
      </c>
      <c r="C16" s="1"/>
      <c r="D16" s="1"/>
      <c r="E16" s="1"/>
      <c r="F16" s="1"/>
      <c r="G16" s="1"/>
      <c r="H16" s="1"/>
      <c r="I16" s="1"/>
      <c r="J16" s="1"/>
      <c r="K16" s="1"/>
      <c r="L16" s="1"/>
      <c r="M16" s="1"/>
      <c r="N16" s="1"/>
      <c r="O16" s="1"/>
      <c r="P16" s="1"/>
      <c r="Q16" s="1"/>
      <c r="R16" s="1"/>
      <c r="V16" s="118" t="s">
        <v>79</v>
      </c>
      <c r="W16" s="116"/>
      <c r="X16" s="110">
        <f t="shared" ref="X16:AM16" si="13">+C17</f>
        <v>44012</v>
      </c>
      <c r="Y16" s="110">
        <f t="shared" si="13"/>
        <v>44027</v>
      </c>
      <c r="Z16" s="110">
        <f t="shared" si="13"/>
        <v>44043</v>
      </c>
      <c r="AA16" s="110">
        <f t="shared" si="13"/>
        <v>44058</v>
      </c>
      <c r="AB16" s="110">
        <f t="shared" si="13"/>
        <v>44074</v>
      </c>
      <c r="AC16" s="110">
        <f t="shared" si="13"/>
        <v>44104</v>
      </c>
      <c r="AD16" s="110">
        <f t="shared" si="13"/>
        <v>44135</v>
      </c>
      <c r="AE16" s="110">
        <f t="shared" si="13"/>
        <v>44165</v>
      </c>
      <c r="AF16" s="110">
        <f t="shared" si="13"/>
        <v>44196</v>
      </c>
      <c r="AG16" s="110">
        <f t="shared" si="13"/>
        <v>44227</v>
      </c>
      <c r="AH16" s="110">
        <f t="shared" si="13"/>
        <v>44255</v>
      </c>
      <c r="AI16" s="110">
        <f t="shared" si="13"/>
        <v>44286</v>
      </c>
      <c r="AJ16" s="110">
        <f t="shared" si="13"/>
        <v>44316</v>
      </c>
      <c r="AK16" s="110">
        <f t="shared" si="13"/>
        <v>44331</v>
      </c>
      <c r="AL16" s="110">
        <f t="shared" si="13"/>
        <v>44347</v>
      </c>
      <c r="AM16" s="110">
        <f t="shared" si="13"/>
        <v>44362</v>
      </c>
      <c r="AN16" s="20"/>
      <c r="AP16" s="20"/>
      <c r="AQ16" s="20"/>
      <c r="AR16" s="20"/>
      <c r="AS16" s="20"/>
      <c r="AT16" s="20"/>
      <c r="AU16" s="20"/>
      <c r="AV16" s="20"/>
      <c r="AW16" s="20"/>
      <c r="AX16" s="20"/>
      <c r="AY16" s="20"/>
      <c r="AZ16" s="20"/>
      <c r="BA16" s="20"/>
      <c r="BB16" s="20"/>
      <c r="BC16" s="20"/>
      <c r="BD16" s="20"/>
      <c r="BE16" s="20"/>
    </row>
    <row r="17" spans="1:57">
      <c r="A17" s="16"/>
      <c r="B17" s="17" t="s">
        <v>58</v>
      </c>
      <c r="C17" s="18">
        <f>+C6</f>
        <v>44012</v>
      </c>
      <c r="D17" s="18">
        <f t="shared" ref="D17:R17" si="14">+D6</f>
        <v>44027</v>
      </c>
      <c r="E17" s="18">
        <f t="shared" si="14"/>
        <v>44043</v>
      </c>
      <c r="F17" s="18">
        <f t="shared" si="14"/>
        <v>44058</v>
      </c>
      <c r="G17" s="18">
        <f t="shared" si="14"/>
        <v>44074</v>
      </c>
      <c r="H17" s="18">
        <f t="shared" si="14"/>
        <v>44104</v>
      </c>
      <c r="I17" s="18">
        <f t="shared" si="14"/>
        <v>44135</v>
      </c>
      <c r="J17" s="18">
        <f t="shared" si="14"/>
        <v>44165</v>
      </c>
      <c r="K17" s="18">
        <f t="shared" si="14"/>
        <v>44196</v>
      </c>
      <c r="L17" s="18">
        <f t="shared" si="14"/>
        <v>44227</v>
      </c>
      <c r="M17" s="18">
        <f t="shared" si="14"/>
        <v>44255</v>
      </c>
      <c r="N17" s="18">
        <f t="shared" si="14"/>
        <v>44286</v>
      </c>
      <c r="O17" s="18">
        <f t="shared" si="14"/>
        <v>44316</v>
      </c>
      <c r="P17" s="18">
        <f t="shared" si="14"/>
        <v>44331</v>
      </c>
      <c r="Q17" s="18">
        <f t="shared" si="14"/>
        <v>44347</v>
      </c>
      <c r="R17" s="18">
        <f t="shared" si="14"/>
        <v>44362</v>
      </c>
      <c r="V17" s="4" t="s">
        <v>60</v>
      </c>
      <c r="W17" s="4" t="s">
        <v>63</v>
      </c>
      <c r="X17" s="4">
        <v>0</v>
      </c>
      <c r="Y17" s="4">
        <v>0</v>
      </c>
      <c r="Z17" s="4">
        <v>0</v>
      </c>
      <c r="AA17" s="4">
        <v>0</v>
      </c>
      <c r="AB17" s="4">
        <v>0.5</v>
      </c>
      <c r="AC17" s="4">
        <v>1.5</v>
      </c>
      <c r="AD17" s="4">
        <v>2.5</v>
      </c>
      <c r="AE17" s="4">
        <v>3.5</v>
      </c>
      <c r="AF17" s="4">
        <v>4.5</v>
      </c>
      <c r="AG17" s="4">
        <v>5.5</v>
      </c>
      <c r="AH17" s="4">
        <v>6.5</v>
      </c>
      <c r="AI17" s="4">
        <v>7.5</v>
      </c>
      <c r="AJ17" s="4">
        <v>8.5</v>
      </c>
      <c r="AK17" s="4">
        <v>9</v>
      </c>
      <c r="AL17" s="4">
        <v>9</v>
      </c>
      <c r="AM17" s="4">
        <v>9</v>
      </c>
      <c r="AN17" s="4" t="s">
        <v>60</v>
      </c>
      <c r="AO17" s="4" t="s">
        <v>74</v>
      </c>
      <c r="AP17" s="4">
        <f t="shared" ref="AP17:BD17" si="15">3-AP7</f>
        <v>0</v>
      </c>
      <c r="AQ17" s="4">
        <f t="shared" si="15"/>
        <v>0.5</v>
      </c>
      <c r="AR17" s="4">
        <f t="shared" si="15"/>
        <v>1</v>
      </c>
      <c r="AS17" s="4">
        <f t="shared" si="15"/>
        <v>1.5</v>
      </c>
      <c r="AT17" s="4">
        <f t="shared" si="15"/>
        <v>1.5</v>
      </c>
      <c r="AU17" s="4">
        <f t="shared" si="15"/>
        <v>1.5</v>
      </c>
      <c r="AV17" s="4">
        <f t="shared" si="15"/>
        <v>1.5</v>
      </c>
      <c r="AW17" s="4">
        <f t="shared" si="15"/>
        <v>1.5</v>
      </c>
      <c r="AX17" s="4">
        <f t="shared" si="15"/>
        <v>1.5</v>
      </c>
      <c r="AY17" s="4">
        <f t="shared" si="15"/>
        <v>1.5</v>
      </c>
      <c r="AZ17" s="4">
        <f t="shared" si="15"/>
        <v>1.5</v>
      </c>
      <c r="BA17" s="4">
        <f t="shared" si="15"/>
        <v>1.5</v>
      </c>
      <c r="BB17" s="4">
        <f t="shared" si="15"/>
        <v>1.5</v>
      </c>
      <c r="BC17" s="4">
        <f t="shared" si="15"/>
        <v>1.5</v>
      </c>
      <c r="BD17" s="4">
        <f t="shared" si="15"/>
        <v>2</v>
      </c>
      <c r="BE17" s="4">
        <f>3-BE7</f>
        <v>2.5</v>
      </c>
    </row>
    <row r="18" spans="1:57">
      <c r="A18" s="10" t="s">
        <v>59</v>
      </c>
      <c r="B18" s="4">
        <v>12</v>
      </c>
      <c r="C18" s="4">
        <f t="shared" ref="C18:R18" si="16">ROUND((($U$2*X$7)+($V$2*X$17)+($U$2*AP$7)+($V$2*AP$17)+($W$2*(3-(AP$7+AP$17)))+($W$2*(9-(X$7+X$17))))*$AO$5,0)</f>
        <v>20040</v>
      </c>
      <c r="D18" s="4">
        <f t="shared" si="16"/>
        <v>20074</v>
      </c>
      <c r="E18" s="4">
        <f t="shared" si="16"/>
        <v>20107</v>
      </c>
      <c r="F18" s="4">
        <f t="shared" si="16"/>
        <v>20141</v>
      </c>
      <c r="G18" s="4">
        <f t="shared" si="16"/>
        <v>20174</v>
      </c>
      <c r="H18" s="4">
        <f t="shared" si="16"/>
        <v>20241</v>
      </c>
      <c r="I18" s="4">
        <f t="shared" si="16"/>
        <v>20308</v>
      </c>
      <c r="J18" s="4">
        <f t="shared" si="16"/>
        <v>20375</v>
      </c>
      <c r="K18" s="4">
        <f t="shared" si="16"/>
        <v>20442</v>
      </c>
      <c r="L18" s="4">
        <f t="shared" si="16"/>
        <v>20509</v>
      </c>
      <c r="M18" s="4">
        <f t="shared" si="16"/>
        <v>20576</v>
      </c>
      <c r="N18" s="4">
        <f t="shared" si="16"/>
        <v>20643</v>
      </c>
      <c r="O18" s="4">
        <f t="shared" si="16"/>
        <v>20710</v>
      </c>
      <c r="P18" s="4">
        <f t="shared" si="16"/>
        <v>20744</v>
      </c>
      <c r="Q18" s="4">
        <f t="shared" si="16"/>
        <v>20777</v>
      </c>
      <c r="R18" s="4">
        <f t="shared" si="16"/>
        <v>20811</v>
      </c>
      <c r="V18" s="4" t="s">
        <v>65</v>
      </c>
      <c r="W18" s="4" t="s">
        <v>67</v>
      </c>
      <c r="X18" s="4">
        <v>0</v>
      </c>
      <c r="Y18" s="4">
        <v>0</v>
      </c>
      <c r="Z18" s="4">
        <v>0</v>
      </c>
      <c r="AA18" s="4">
        <v>0</v>
      </c>
      <c r="AB18" s="4">
        <v>0.5</v>
      </c>
      <c r="AC18" s="4">
        <v>1.5</v>
      </c>
      <c r="AD18" s="4">
        <v>2.5</v>
      </c>
      <c r="AE18" s="4">
        <v>3.5</v>
      </c>
      <c r="AF18" s="4">
        <v>4.5</v>
      </c>
      <c r="AG18" s="4">
        <v>5.5</v>
      </c>
      <c r="AH18" s="4">
        <v>6.5</v>
      </c>
      <c r="AI18" s="4">
        <v>7.5</v>
      </c>
      <c r="AJ18" s="4">
        <v>8.5</v>
      </c>
      <c r="AK18" s="4">
        <v>9</v>
      </c>
      <c r="AL18" s="4">
        <v>9</v>
      </c>
      <c r="AM18" s="4">
        <v>9</v>
      </c>
      <c r="AN18" s="4" t="s">
        <v>65</v>
      </c>
      <c r="AO18" s="4" t="s">
        <v>74</v>
      </c>
      <c r="AP18" s="4">
        <f t="shared" ref="AP18:BE18" si="17">2-AP8</f>
        <v>0</v>
      </c>
      <c r="AQ18" s="4">
        <f t="shared" si="17"/>
        <v>0</v>
      </c>
      <c r="AR18" s="4">
        <f t="shared" si="17"/>
        <v>0</v>
      </c>
      <c r="AS18" s="4">
        <f t="shared" si="17"/>
        <v>0.5</v>
      </c>
      <c r="AT18" s="4">
        <f t="shared" si="17"/>
        <v>0.5</v>
      </c>
      <c r="AU18" s="4">
        <f t="shared" si="17"/>
        <v>0.5</v>
      </c>
      <c r="AV18" s="4">
        <f t="shared" si="17"/>
        <v>0.5</v>
      </c>
      <c r="AW18" s="4">
        <f t="shared" si="17"/>
        <v>0.5</v>
      </c>
      <c r="AX18" s="4">
        <f t="shared" si="17"/>
        <v>0.5</v>
      </c>
      <c r="AY18" s="4">
        <f t="shared" si="17"/>
        <v>0.5</v>
      </c>
      <c r="AZ18" s="4">
        <f t="shared" si="17"/>
        <v>0.5</v>
      </c>
      <c r="BA18" s="4">
        <f t="shared" si="17"/>
        <v>0.5</v>
      </c>
      <c r="BB18" s="4">
        <f t="shared" si="17"/>
        <v>0.5</v>
      </c>
      <c r="BC18" s="4">
        <f t="shared" si="17"/>
        <v>0.5</v>
      </c>
      <c r="BD18" s="4">
        <f t="shared" si="17"/>
        <v>1</v>
      </c>
      <c r="BE18" s="4">
        <f t="shared" si="17"/>
        <v>1.5</v>
      </c>
    </row>
    <row r="19" spans="1:57">
      <c r="A19" s="10" t="s">
        <v>64</v>
      </c>
      <c r="B19" s="4">
        <v>11</v>
      </c>
      <c r="C19" s="4">
        <f t="shared" ref="C19:R19" si="18">ROUND((($U$2*X$8)+($V$2*X$18)+($U$2*AP$8)+($V$2*AP$18)+($W$2*(2-(AP$8+AP$18)))+($W$2*(9-(X$8+X$18))))*$AO$5,0)</f>
        <v>18370</v>
      </c>
      <c r="D19" s="4">
        <f t="shared" si="18"/>
        <v>18370</v>
      </c>
      <c r="E19" s="4">
        <f t="shared" si="18"/>
        <v>18370</v>
      </c>
      <c r="F19" s="4">
        <f t="shared" si="18"/>
        <v>18404</v>
      </c>
      <c r="G19" s="4">
        <f t="shared" si="18"/>
        <v>18437</v>
      </c>
      <c r="H19" s="4">
        <f t="shared" si="18"/>
        <v>18504</v>
      </c>
      <c r="I19" s="4">
        <f t="shared" si="18"/>
        <v>18571</v>
      </c>
      <c r="J19" s="4">
        <f t="shared" si="18"/>
        <v>18638</v>
      </c>
      <c r="K19" s="4">
        <f t="shared" si="18"/>
        <v>18705</v>
      </c>
      <c r="L19" s="4">
        <f t="shared" si="18"/>
        <v>18772</v>
      </c>
      <c r="M19" s="4">
        <f t="shared" si="18"/>
        <v>18839</v>
      </c>
      <c r="N19" s="4">
        <f t="shared" si="18"/>
        <v>18906</v>
      </c>
      <c r="O19" s="4">
        <f t="shared" si="18"/>
        <v>18973</v>
      </c>
      <c r="P19" s="4">
        <f t="shared" si="18"/>
        <v>19007</v>
      </c>
      <c r="Q19" s="4">
        <f t="shared" si="18"/>
        <v>19040</v>
      </c>
      <c r="R19" s="4">
        <f t="shared" si="18"/>
        <v>19074</v>
      </c>
      <c r="V19" s="4" t="s">
        <v>69</v>
      </c>
      <c r="W19" s="4" t="s">
        <v>67</v>
      </c>
      <c r="X19" s="4">
        <v>0</v>
      </c>
      <c r="Y19" s="4">
        <v>0</v>
      </c>
      <c r="Z19" s="4">
        <v>0</v>
      </c>
      <c r="AA19" s="4">
        <v>0</v>
      </c>
      <c r="AB19" s="4">
        <v>0.5</v>
      </c>
      <c r="AC19" s="4">
        <v>1.5</v>
      </c>
      <c r="AD19" s="4">
        <v>2.5</v>
      </c>
      <c r="AE19" s="4">
        <v>3.5</v>
      </c>
      <c r="AF19" s="4">
        <v>4.5</v>
      </c>
      <c r="AG19" s="4">
        <v>5.5</v>
      </c>
      <c r="AH19" s="4">
        <v>6.5</v>
      </c>
      <c r="AI19" s="4">
        <v>7.5</v>
      </c>
      <c r="AJ19" s="4">
        <v>8.5</v>
      </c>
      <c r="AK19" s="4">
        <v>9</v>
      </c>
      <c r="AL19" s="4">
        <v>9</v>
      </c>
      <c r="AM19" s="4">
        <v>9</v>
      </c>
      <c r="AN19" s="4" t="s">
        <v>69</v>
      </c>
      <c r="AO19" s="4" t="s">
        <v>74</v>
      </c>
      <c r="AP19" s="4">
        <f t="shared" ref="AP19:BE19" si="19">1-AP9</f>
        <v>0</v>
      </c>
      <c r="AQ19" s="4">
        <f t="shared" si="19"/>
        <v>0</v>
      </c>
      <c r="AR19" s="4">
        <f t="shared" si="19"/>
        <v>0</v>
      </c>
      <c r="AS19" s="4">
        <f t="shared" si="19"/>
        <v>0</v>
      </c>
      <c r="AT19" s="4">
        <f t="shared" si="19"/>
        <v>0</v>
      </c>
      <c r="AU19" s="4">
        <f t="shared" si="19"/>
        <v>0</v>
      </c>
      <c r="AV19" s="4">
        <f t="shared" si="19"/>
        <v>0</v>
      </c>
      <c r="AW19" s="4">
        <f t="shared" si="19"/>
        <v>0</v>
      </c>
      <c r="AX19" s="4">
        <f t="shared" si="19"/>
        <v>0</v>
      </c>
      <c r="AY19" s="4">
        <f t="shared" si="19"/>
        <v>0</v>
      </c>
      <c r="AZ19" s="4">
        <f t="shared" si="19"/>
        <v>0</v>
      </c>
      <c r="BA19" s="4">
        <f t="shared" si="19"/>
        <v>0</v>
      </c>
      <c r="BB19" s="4">
        <f t="shared" si="19"/>
        <v>0</v>
      </c>
      <c r="BC19" s="4">
        <f t="shared" si="19"/>
        <v>0</v>
      </c>
      <c r="BD19" s="4">
        <f t="shared" si="19"/>
        <v>0</v>
      </c>
      <c r="BE19" s="4">
        <f t="shared" si="19"/>
        <v>0.5</v>
      </c>
    </row>
    <row r="20" spans="1:57">
      <c r="A20" s="10" t="s">
        <v>68</v>
      </c>
      <c r="B20" s="4">
        <v>10</v>
      </c>
      <c r="C20" s="4">
        <f t="shared" ref="C20:R20" si="20">ROUND((($U$2*X$9)+($V$2*X$19)+($U$2*AP$9)+($V$2*AP$19)+($W$2*(1-(AP$9+AP$19)))+($W$2*(9-(X$9+X$19))))*$AO$5,0)</f>
        <v>16700</v>
      </c>
      <c r="D20" s="4">
        <f t="shared" si="20"/>
        <v>16700</v>
      </c>
      <c r="E20" s="4">
        <f t="shared" si="20"/>
        <v>16700</v>
      </c>
      <c r="F20" s="4">
        <f t="shared" si="20"/>
        <v>16700</v>
      </c>
      <c r="G20" s="4">
        <f t="shared" si="20"/>
        <v>16734</v>
      </c>
      <c r="H20" s="4">
        <f t="shared" si="20"/>
        <v>16801</v>
      </c>
      <c r="I20" s="4">
        <f t="shared" si="20"/>
        <v>16868</v>
      </c>
      <c r="J20" s="4">
        <f t="shared" si="20"/>
        <v>16935</v>
      </c>
      <c r="K20" s="4">
        <f t="shared" si="20"/>
        <v>17002</v>
      </c>
      <c r="L20" s="4">
        <f t="shared" si="20"/>
        <v>17069</v>
      </c>
      <c r="M20" s="4">
        <f t="shared" si="20"/>
        <v>17136</v>
      </c>
      <c r="N20" s="4">
        <f t="shared" si="20"/>
        <v>17203</v>
      </c>
      <c r="O20" s="4">
        <f t="shared" si="20"/>
        <v>17270</v>
      </c>
      <c r="P20" s="4">
        <f t="shared" si="20"/>
        <v>17303</v>
      </c>
      <c r="Q20" s="4">
        <f t="shared" si="20"/>
        <v>17303</v>
      </c>
      <c r="R20" s="4">
        <f t="shared" si="20"/>
        <v>17337</v>
      </c>
      <c r="V20" s="4" t="s">
        <v>71</v>
      </c>
      <c r="W20" s="4" t="s">
        <v>67</v>
      </c>
      <c r="X20" s="4">
        <v>0</v>
      </c>
      <c r="Y20" s="4">
        <v>0</v>
      </c>
      <c r="Z20" s="4">
        <v>0</v>
      </c>
      <c r="AA20" s="4">
        <v>0</v>
      </c>
      <c r="AB20" s="4">
        <v>0.5</v>
      </c>
      <c r="AC20" s="4">
        <v>1.5</v>
      </c>
      <c r="AD20" s="4">
        <v>2.5</v>
      </c>
      <c r="AE20" s="4">
        <v>3.5</v>
      </c>
      <c r="AF20" s="4">
        <v>4.5</v>
      </c>
      <c r="AG20" s="4">
        <v>5.5</v>
      </c>
      <c r="AH20" s="4">
        <v>6.5</v>
      </c>
      <c r="AI20" s="4">
        <v>7.5</v>
      </c>
      <c r="AJ20" s="4">
        <v>8.5</v>
      </c>
      <c r="AK20" s="4">
        <v>9</v>
      </c>
      <c r="AL20" s="4">
        <v>9</v>
      </c>
      <c r="AM20" s="4">
        <v>9</v>
      </c>
      <c r="AN20" s="4" t="s">
        <v>71</v>
      </c>
      <c r="AO20" s="4" t="s">
        <v>74</v>
      </c>
      <c r="AP20" s="4">
        <v>0</v>
      </c>
      <c r="AQ20" s="4">
        <v>0</v>
      </c>
      <c r="AR20" s="4">
        <v>0</v>
      </c>
      <c r="AS20" s="4">
        <v>0</v>
      </c>
      <c r="AT20" s="4">
        <v>0</v>
      </c>
      <c r="AU20" s="4">
        <v>0</v>
      </c>
      <c r="AV20" s="4">
        <v>0</v>
      </c>
      <c r="AW20" s="4">
        <v>0</v>
      </c>
      <c r="AX20" s="4">
        <v>0</v>
      </c>
      <c r="AY20" s="4">
        <v>0</v>
      </c>
      <c r="AZ20" s="4">
        <v>0</v>
      </c>
      <c r="BA20" s="4">
        <v>0</v>
      </c>
      <c r="BB20" s="4">
        <v>0</v>
      </c>
      <c r="BC20" s="4">
        <v>0</v>
      </c>
      <c r="BD20" s="4">
        <v>0</v>
      </c>
      <c r="BE20" s="4">
        <v>0</v>
      </c>
    </row>
    <row r="21" spans="1:57">
      <c r="A21" s="10" t="s">
        <v>70</v>
      </c>
      <c r="B21" s="4">
        <v>9</v>
      </c>
      <c r="C21" s="4">
        <f t="shared" ref="C21:R21" si="21">ROUND((($U$2*X$10)+($V$2*X$20)+($U$2*AP$10)+($V$2*AP$20)+($W$2*(0-(AP$10+AP$20)))+($W$2*(9-(X$10+X$20))))*$AO$5,0)</f>
        <v>15030</v>
      </c>
      <c r="D21" s="4">
        <f t="shared" si="21"/>
        <v>15030</v>
      </c>
      <c r="E21" s="4">
        <f t="shared" si="21"/>
        <v>15030</v>
      </c>
      <c r="F21" s="4">
        <f t="shared" si="21"/>
        <v>15030</v>
      </c>
      <c r="G21" s="4">
        <f t="shared" si="21"/>
        <v>15064</v>
      </c>
      <c r="H21" s="4">
        <f t="shared" si="21"/>
        <v>15131</v>
      </c>
      <c r="I21" s="4">
        <f t="shared" si="21"/>
        <v>15198</v>
      </c>
      <c r="J21" s="4">
        <f t="shared" si="21"/>
        <v>15265</v>
      </c>
      <c r="K21" s="4">
        <f t="shared" si="21"/>
        <v>15332</v>
      </c>
      <c r="L21" s="4">
        <f t="shared" si="21"/>
        <v>15399</v>
      </c>
      <c r="M21" s="4">
        <f t="shared" si="21"/>
        <v>15466</v>
      </c>
      <c r="N21" s="4">
        <f t="shared" si="21"/>
        <v>15533</v>
      </c>
      <c r="O21" s="4">
        <f t="shared" si="21"/>
        <v>15600</v>
      </c>
      <c r="P21" s="4">
        <f t="shared" si="21"/>
        <v>15633</v>
      </c>
      <c r="Q21" s="4">
        <f t="shared" si="21"/>
        <v>15633</v>
      </c>
      <c r="R21" s="4">
        <f t="shared" si="21"/>
        <v>15633</v>
      </c>
      <c r="V21" s="4" t="s">
        <v>73</v>
      </c>
      <c r="W21" s="4" t="s">
        <v>74</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t="s">
        <v>73</v>
      </c>
      <c r="AO21" s="4" t="s">
        <v>74</v>
      </c>
      <c r="AP21" s="4">
        <f t="shared" ref="AP21:BE21" si="22">3-AP11</f>
        <v>0</v>
      </c>
      <c r="AQ21" s="4">
        <f t="shared" si="22"/>
        <v>0.5</v>
      </c>
      <c r="AR21" s="4">
        <f t="shared" si="22"/>
        <v>1</v>
      </c>
      <c r="AS21" s="4">
        <f t="shared" si="22"/>
        <v>1.5</v>
      </c>
      <c r="AT21" s="4">
        <f t="shared" si="22"/>
        <v>1.5</v>
      </c>
      <c r="AU21" s="4">
        <f t="shared" si="22"/>
        <v>1.5</v>
      </c>
      <c r="AV21" s="4">
        <f t="shared" si="22"/>
        <v>1.5</v>
      </c>
      <c r="AW21" s="4">
        <f t="shared" si="22"/>
        <v>1.5</v>
      </c>
      <c r="AX21" s="4">
        <f t="shared" si="22"/>
        <v>1.5</v>
      </c>
      <c r="AY21" s="4">
        <f t="shared" si="22"/>
        <v>1.5</v>
      </c>
      <c r="AZ21" s="4">
        <f t="shared" si="22"/>
        <v>1.5</v>
      </c>
      <c r="BA21" s="4">
        <f t="shared" si="22"/>
        <v>1.5</v>
      </c>
      <c r="BB21" s="4">
        <f t="shared" si="22"/>
        <v>1.5</v>
      </c>
      <c r="BC21" s="4">
        <f t="shared" si="22"/>
        <v>1.5</v>
      </c>
      <c r="BD21" s="4">
        <f t="shared" si="22"/>
        <v>2</v>
      </c>
      <c r="BE21" s="4">
        <f t="shared" si="22"/>
        <v>2.5</v>
      </c>
    </row>
    <row r="22" spans="1:57">
      <c r="A22" s="10" t="s">
        <v>72</v>
      </c>
      <c r="B22" s="4">
        <v>3</v>
      </c>
      <c r="C22" s="4">
        <f t="shared" ref="C22:R22" si="23">ROUND((($U$2*X$11)+($V$2*X$21)+($U$2*AP$11)+($V$2*AP$21)+($W$2*(3-(AP$11+AP$21)))+($W$2*(0-(X$11+X$21))))*$AO$5,0)</f>
        <v>5010</v>
      </c>
      <c r="D22" s="4">
        <f t="shared" si="23"/>
        <v>5044</v>
      </c>
      <c r="E22" s="4">
        <f t="shared" si="23"/>
        <v>5077</v>
      </c>
      <c r="F22" s="4">
        <f t="shared" si="23"/>
        <v>5111</v>
      </c>
      <c r="G22" s="4">
        <f t="shared" si="23"/>
        <v>5111</v>
      </c>
      <c r="H22" s="4">
        <f t="shared" si="23"/>
        <v>5111</v>
      </c>
      <c r="I22" s="4">
        <f t="shared" si="23"/>
        <v>5111</v>
      </c>
      <c r="J22" s="4">
        <f t="shared" si="23"/>
        <v>5111</v>
      </c>
      <c r="K22" s="4">
        <f t="shared" si="23"/>
        <v>5111</v>
      </c>
      <c r="L22" s="4">
        <f t="shared" si="23"/>
        <v>5111</v>
      </c>
      <c r="M22" s="4">
        <f t="shared" si="23"/>
        <v>5111</v>
      </c>
      <c r="N22" s="4">
        <f t="shared" si="23"/>
        <v>5111</v>
      </c>
      <c r="O22" s="4">
        <f t="shared" si="23"/>
        <v>5111</v>
      </c>
      <c r="P22" s="4">
        <f t="shared" si="23"/>
        <v>5111</v>
      </c>
      <c r="Q22" s="4">
        <f t="shared" si="23"/>
        <v>5144</v>
      </c>
      <c r="R22" s="4">
        <f t="shared" si="23"/>
        <v>5178</v>
      </c>
      <c r="V22" s="4" t="s">
        <v>76</v>
      </c>
      <c r="W22" s="4" t="s">
        <v>74</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t="s">
        <v>76</v>
      </c>
      <c r="AO22" s="4" t="s">
        <v>74</v>
      </c>
      <c r="AP22" s="4">
        <f t="shared" ref="AP22:BE22" si="24">2-AP12</f>
        <v>0</v>
      </c>
      <c r="AQ22" s="4">
        <f t="shared" si="24"/>
        <v>0</v>
      </c>
      <c r="AR22" s="4">
        <f t="shared" si="24"/>
        <v>0</v>
      </c>
      <c r="AS22" s="4">
        <f t="shared" si="24"/>
        <v>0.5</v>
      </c>
      <c r="AT22" s="4">
        <f t="shared" si="24"/>
        <v>0.5</v>
      </c>
      <c r="AU22" s="4">
        <f t="shared" si="24"/>
        <v>0.5</v>
      </c>
      <c r="AV22" s="4">
        <f t="shared" si="24"/>
        <v>0.5</v>
      </c>
      <c r="AW22" s="4">
        <f t="shared" si="24"/>
        <v>0.5</v>
      </c>
      <c r="AX22" s="4">
        <f t="shared" si="24"/>
        <v>0.5</v>
      </c>
      <c r="AY22" s="4">
        <f t="shared" si="24"/>
        <v>0.5</v>
      </c>
      <c r="AZ22" s="4">
        <f t="shared" si="24"/>
        <v>0.5</v>
      </c>
      <c r="BA22" s="4">
        <f t="shared" si="24"/>
        <v>0.5</v>
      </c>
      <c r="BB22" s="4">
        <f t="shared" si="24"/>
        <v>0.5</v>
      </c>
      <c r="BC22" s="4">
        <f t="shared" si="24"/>
        <v>0.5</v>
      </c>
      <c r="BD22" s="4">
        <f t="shared" si="24"/>
        <v>1</v>
      </c>
      <c r="BE22" s="4">
        <f t="shared" si="24"/>
        <v>1.5</v>
      </c>
    </row>
    <row r="23" spans="1:57">
      <c r="A23" s="10" t="s">
        <v>75</v>
      </c>
      <c r="B23" s="4">
        <v>2</v>
      </c>
      <c r="C23" s="4">
        <f t="shared" ref="C23:R23" si="25">ROUND((($U$2*X$12)+($V$2*X$22)+($U$2*AP$12)+($V$2*AP$22)+($W$2*(2-(AP$12+AP$22)))+($W$2*(0-(X$12+X$22))))*$AO$5,0)</f>
        <v>3340</v>
      </c>
      <c r="D23" s="4">
        <f t="shared" si="25"/>
        <v>3340</v>
      </c>
      <c r="E23" s="4">
        <f t="shared" si="25"/>
        <v>3340</v>
      </c>
      <c r="F23" s="4">
        <f t="shared" si="25"/>
        <v>3374</v>
      </c>
      <c r="G23" s="4">
        <f t="shared" si="25"/>
        <v>3374</v>
      </c>
      <c r="H23" s="4">
        <f t="shared" si="25"/>
        <v>3374</v>
      </c>
      <c r="I23" s="4">
        <f t="shared" si="25"/>
        <v>3374</v>
      </c>
      <c r="J23" s="4">
        <f t="shared" si="25"/>
        <v>3374</v>
      </c>
      <c r="K23" s="4">
        <f t="shared" si="25"/>
        <v>3374</v>
      </c>
      <c r="L23" s="4">
        <f t="shared" si="25"/>
        <v>3374</v>
      </c>
      <c r="M23" s="4">
        <f t="shared" si="25"/>
        <v>3374</v>
      </c>
      <c r="N23" s="4">
        <f t="shared" si="25"/>
        <v>3374</v>
      </c>
      <c r="O23" s="4">
        <f t="shared" si="25"/>
        <v>3374</v>
      </c>
      <c r="P23" s="4">
        <f t="shared" si="25"/>
        <v>3374</v>
      </c>
      <c r="Q23" s="4">
        <f t="shared" si="25"/>
        <v>3407</v>
      </c>
      <c r="R23" s="4">
        <f t="shared" si="25"/>
        <v>3441</v>
      </c>
      <c r="V23" s="4" t="s">
        <v>78</v>
      </c>
      <c r="W23" s="4" t="s">
        <v>74</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t="s">
        <v>78</v>
      </c>
      <c r="AO23" s="4" t="s">
        <v>74</v>
      </c>
      <c r="AP23" s="4">
        <f t="shared" ref="AP23:BE23" si="26">1-AP13</f>
        <v>0</v>
      </c>
      <c r="AQ23" s="4">
        <f t="shared" si="26"/>
        <v>0</v>
      </c>
      <c r="AR23" s="4">
        <f t="shared" si="26"/>
        <v>0</v>
      </c>
      <c r="AS23" s="4">
        <f t="shared" si="26"/>
        <v>0</v>
      </c>
      <c r="AT23" s="4">
        <f t="shared" si="26"/>
        <v>0</v>
      </c>
      <c r="AU23" s="4">
        <f t="shared" si="26"/>
        <v>0</v>
      </c>
      <c r="AV23" s="4">
        <f t="shared" si="26"/>
        <v>0</v>
      </c>
      <c r="AW23" s="4">
        <f t="shared" si="26"/>
        <v>0</v>
      </c>
      <c r="AX23" s="4">
        <f t="shared" si="26"/>
        <v>0</v>
      </c>
      <c r="AY23" s="4">
        <f t="shared" si="26"/>
        <v>0</v>
      </c>
      <c r="AZ23" s="4">
        <f t="shared" si="26"/>
        <v>0</v>
      </c>
      <c r="BA23" s="4">
        <f t="shared" si="26"/>
        <v>0</v>
      </c>
      <c r="BB23" s="4">
        <f t="shared" si="26"/>
        <v>0</v>
      </c>
      <c r="BC23" s="4">
        <f t="shared" si="26"/>
        <v>0</v>
      </c>
      <c r="BD23" s="4">
        <f t="shared" si="26"/>
        <v>0</v>
      </c>
      <c r="BE23" s="4">
        <f t="shared" si="26"/>
        <v>0.5</v>
      </c>
    </row>
    <row r="24" spans="1:57">
      <c r="A24" s="10" t="s">
        <v>77</v>
      </c>
      <c r="B24" s="4">
        <v>1</v>
      </c>
      <c r="C24" s="4">
        <f t="shared" ref="C24:R24" si="27">ROUND((($U$2*X$13)+($V$2*X$23)+($U$2*AP$13)+($V$2*AP$23)+($W$2*(1-(AP$13+AP$23)))+($W$2*(0-(X$13+X$23))))*$AO$5,0)</f>
        <v>1670</v>
      </c>
      <c r="D24" s="4">
        <f t="shared" si="27"/>
        <v>1670</v>
      </c>
      <c r="E24" s="4">
        <f t="shared" si="27"/>
        <v>1670</v>
      </c>
      <c r="F24" s="4">
        <f t="shared" si="27"/>
        <v>1670</v>
      </c>
      <c r="G24" s="4">
        <f t="shared" si="27"/>
        <v>1670</v>
      </c>
      <c r="H24" s="4">
        <f t="shared" si="27"/>
        <v>1670</v>
      </c>
      <c r="I24" s="4">
        <f t="shared" si="27"/>
        <v>1670</v>
      </c>
      <c r="J24" s="4">
        <f t="shared" si="27"/>
        <v>1670</v>
      </c>
      <c r="K24" s="4">
        <f t="shared" si="27"/>
        <v>1670</v>
      </c>
      <c r="L24" s="4">
        <f t="shared" si="27"/>
        <v>1670</v>
      </c>
      <c r="M24" s="4">
        <f t="shared" si="27"/>
        <v>1670</v>
      </c>
      <c r="N24" s="4">
        <f t="shared" si="27"/>
        <v>1670</v>
      </c>
      <c r="O24" s="4">
        <f t="shared" si="27"/>
        <v>1670</v>
      </c>
      <c r="P24" s="4">
        <f t="shared" si="27"/>
        <v>1670</v>
      </c>
      <c r="Q24" s="4">
        <f t="shared" si="27"/>
        <v>1670</v>
      </c>
      <c r="R24" s="4">
        <f t="shared" si="27"/>
        <v>1704</v>
      </c>
    </row>
    <row r="26" spans="1:57" ht="18.75" thickBot="1">
      <c r="A26" s="6" t="s">
        <v>80</v>
      </c>
      <c r="B26" s="7"/>
      <c r="C26" s="7"/>
      <c r="D26" s="7"/>
      <c r="E26" s="7"/>
      <c r="F26" s="7"/>
      <c r="G26" s="7"/>
      <c r="H26" s="7"/>
      <c r="I26" s="7"/>
      <c r="J26" s="7"/>
      <c r="K26" s="7"/>
      <c r="L26" s="7"/>
      <c r="M26" s="7"/>
      <c r="N26" s="7"/>
      <c r="O26" s="7"/>
      <c r="P26" s="7"/>
      <c r="Q26" s="7"/>
      <c r="R26" s="7"/>
      <c r="U26" s="5"/>
      <c r="W26" s="4" t="s">
        <v>600</v>
      </c>
      <c r="X26" s="819" t="s">
        <v>81</v>
      </c>
      <c r="Y26" s="115"/>
      <c r="Z26" s="820"/>
      <c r="AB26" s="819" t="s">
        <v>82</v>
      </c>
      <c r="AC26" s="115"/>
      <c r="AD26" s="820"/>
      <c r="AF26" s="821" t="s">
        <v>83</v>
      </c>
      <c r="AG26" s="822"/>
      <c r="AH26" s="820"/>
    </row>
    <row r="27" spans="1:57" ht="18.75">
      <c r="A27" s="21" t="s">
        <v>84</v>
      </c>
      <c r="B27" s="22">
        <f>'GRA 26-60 Matrices'!B99</f>
        <v>0.04</v>
      </c>
      <c r="C27" s="4" t="s">
        <v>85</v>
      </c>
      <c r="E27" s="109">
        <f>'GRA 26-60 Matrices'!E99</f>
        <v>0</v>
      </c>
      <c r="W27" s="4" t="s">
        <v>597</v>
      </c>
      <c r="X27" s="23">
        <f>'GRA 26-60 Matrices'!X88</f>
        <v>12297</v>
      </c>
      <c r="Y27" s="24">
        <f>'GRA 26-60 Matrices'!Y88</f>
        <v>12789</v>
      </c>
      <c r="Z27" s="25">
        <f>'GRA 26-60 Matrices'!Z88</f>
        <v>13301</v>
      </c>
      <c r="AB27" s="23">
        <f>'GRA 26-60 Matrices'!AB88</f>
        <v>27842</v>
      </c>
      <c r="AC27" s="24">
        <f>'GRA 26-60 Matrices'!AC88</f>
        <v>28956</v>
      </c>
      <c r="AD27" s="25">
        <f>'GRA 26-60 Matrices'!AD88</f>
        <v>30114</v>
      </c>
      <c r="AF27" s="26">
        <f>'GRA 26-60 Matrices'!AF88</f>
        <v>2524</v>
      </c>
      <c r="AG27" s="16">
        <f>'GRA 26-60 Matrices'!AG88</f>
        <v>2625</v>
      </c>
      <c r="AH27" s="25">
        <f>'GRA 26-60 Matrices'!AH88</f>
        <v>2730</v>
      </c>
    </row>
    <row r="28" spans="1:57">
      <c r="W28" s="5" t="s">
        <v>596</v>
      </c>
      <c r="X28" s="27">
        <v>1800</v>
      </c>
      <c r="Y28" s="817">
        <f>'GRA 26-60 Matrices'!Y89</f>
        <v>1871.5319999999999</v>
      </c>
      <c r="Z28" s="28">
        <v>0</v>
      </c>
      <c r="AB28" s="27">
        <f>X28</f>
        <v>1800</v>
      </c>
      <c r="AC28" s="817">
        <f>'GRA 26-60 Matrices'!AC89</f>
        <v>1871.5319999999999</v>
      </c>
      <c r="AD28" s="28">
        <v>0</v>
      </c>
      <c r="AF28" s="29"/>
      <c r="AG28" s="30"/>
      <c r="AH28" s="28"/>
    </row>
    <row r="29" spans="1:57" ht="15.75">
      <c r="A29" s="11" t="s">
        <v>86</v>
      </c>
    </row>
    <row r="30" spans="1:57">
      <c r="B30" s="13" t="s">
        <v>54</v>
      </c>
      <c r="W30"/>
      <c r="X30"/>
    </row>
    <row r="31" spans="1:57">
      <c r="A31" s="16"/>
      <c r="B31" s="17" t="s">
        <v>58</v>
      </c>
      <c r="C31" s="18">
        <f t="shared" ref="C31:R31" si="28">+C17</f>
        <v>44012</v>
      </c>
      <c r="D31" s="18">
        <f t="shared" si="28"/>
        <v>44027</v>
      </c>
      <c r="E31" s="18">
        <f t="shared" si="28"/>
        <v>44043</v>
      </c>
      <c r="F31" s="18">
        <f t="shared" si="28"/>
        <v>44058</v>
      </c>
      <c r="G31" s="18">
        <f t="shared" si="28"/>
        <v>44074</v>
      </c>
      <c r="H31" s="18">
        <f t="shared" si="28"/>
        <v>44104</v>
      </c>
      <c r="I31" s="18">
        <f t="shared" si="28"/>
        <v>44135</v>
      </c>
      <c r="J31" s="18">
        <f t="shared" si="28"/>
        <v>44165</v>
      </c>
      <c r="K31" s="18">
        <f t="shared" si="28"/>
        <v>44196</v>
      </c>
      <c r="L31" s="18">
        <f t="shared" si="28"/>
        <v>44227</v>
      </c>
      <c r="M31" s="18">
        <f t="shared" si="28"/>
        <v>44255</v>
      </c>
      <c r="N31" s="18">
        <f t="shared" si="28"/>
        <v>44286</v>
      </c>
      <c r="O31" s="18">
        <f t="shared" si="28"/>
        <v>44316</v>
      </c>
      <c r="P31" s="18">
        <f t="shared" si="28"/>
        <v>44331</v>
      </c>
      <c r="Q31" s="18">
        <f t="shared" si="28"/>
        <v>44347</v>
      </c>
      <c r="R31" s="18">
        <f t="shared" si="28"/>
        <v>44362</v>
      </c>
      <c r="V31" s="114"/>
      <c r="W31" s="113"/>
      <c r="X31"/>
      <c r="Y31" s="19"/>
      <c r="Z31" s="19"/>
      <c r="AA31" s="19"/>
      <c r="AB31" s="19"/>
      <c r="AC31" s="19"/>
      <c r="AD31" s="19"/>
      <c r="AE31" s="19"/>
      <c r="AF31" s="19"/>
      <c r="AG31" s="19"/>
      <c r="AH31" s="19"/>
      <c r="AI31" s="19"/>
      <c r="AJ31" s="19"/>
      <c r="AK31" s="19"/>
      <c r="AL31" s="19"/>
      <c r="AM31" s="19"/>
      <c r="AO31" s="14"/>
      <c r="AP31" s="14"/>
    </row>
    <row r="32" spans="1:57">
      <c r="V32" s="115"/>
      <c r="W32" s="116"/>
      <c r="X32" s="110">
        <f t="shared" ref="X32:AM32" si="29">+C31</f>
        <v>44012</v>
      </c>
      <c r="Y32" s="19">
        <f t="shared" si="29"/>
        <v>44027</v>
      </c>
      <c r="Z32" s="19">
        <f t="shared" si="29"/>
        <v>44043</v>
      </c>
      <c r="AA32" s="19">
        <f t="shared" si="29"/>
        <v>44058</v>
      </c>
      <c r="AB32" s="19">
        <f t="shared" si="29"/>
        <v>44074</v>
      </c>
      <c r="AC32" s="19">
        <f t="shared" si="29"/>
        <v>44104</v>
      </c>
      <c r="AD32" s="19">
        <f t="shared" si="29"/>
        <v>44135</v>
      </c>
      <c r="AE32" s="19">
        <f t="shared" si="29"/>
        <v>44165</v>
      </c>
      <c r="AF32" s="19">
        <f t="shared" si="29"/>
        <v>44196</v>
      </c>
      <c r="AG32" s="19">
        <f t="shared" si="29"/>
        <v>44227</v>
      </c>
      <c r="AH32" s="19">
        <f t="shared" si="29"/>
        <v>44255</v>
      </c>
      <c r="AI32" s="19">
        <f t="shared" si="29"/>
        <v>44286</v>
      </c>
      <c r="AJ32" s="19">
        <f t="shared" si="29"/>
        <v>44316</v>
      </c>
      <c r="AK32" s="19">
        <f t="shared" si="29"/>
        <v>44331</v>
      </c>
      <c r="AL32" s="19">
        <f t="shared" si="29"/>
        <v>44347</v>
      </c>
      <c r="AM32" s="19">
        <f t="shared" si="29"/>
        <v>44362</v>
      </c>
      <c r="AN32" s="20"/>
      <c r="AP32" s="110">
        <f t="shared" ref="AP32:BE32" si="30">+X32</f>
        <v>44012</v>
      </c>
      <c r="AQ32" s="110">
        <f t="shared" si="30"/>
        <v>44027</v>
      </c>
      <c r="AR32" s="110">
        <f t="shared" si="30"/>
        <v>44043</v>
      </c>
      <c r="AS32" s="110">
        <f t="shared" si="30"/>
        <v>44058</v>
      </c>
      <c r="AT32" s="110">
        <f t="shared" si="30"/>
        <v>44074</v>
      </c>
      <c r="AU32" s="110">
        <f t="shared" si="30"/>
        <v>44104</v>
      </c>
      <c r="AV32" s="110">
        <f t="shared" si="30"/>
        <v>44135</v>
      </c>
      <c r="AW32" s="110">
        <f t="shared" si="30"/>
        <v>44165</v>
      </c>
      <c r="AX32" s="110">
        <f t="shared" si="30"/>
        <v>44196</v>
      </c>
      <c r="AY32" s="110">
        <f t="shared" si="30"/>
        <v>44227</v>
      </c>
      <c r="AZ32" s="110">
        <f t="shared" si="30"/>
        <v>44255</v>
      </c>
      <c r="BA32" s="110">
        <f t="shared" si="30"/>
        <v>44286</v>
      </c>
      <c r="BB32" s="110">
        <f t="shared" si="30"/>
        <v>44316</v>
      </c>
      <c r="BC32" s="110">
        <f t="shared" si="30"/>
        <v>44331</v>
      </c>
      <c r="BD32" s="110">
        <f t="shared" si="30"/>
        <v>44347</v>
      </c>
      <c r="BE32" s="110">
        <f t="shared" si="30"/>
        <v>44362</v>
      </c>
    </row>
    <row r="33" spans="1:57">
      <c r="A33" s="10" t="s">
        <v>87</v>
      </c>
      <c r="B33" s="4">
        <v>12</v>
      </c>
      <c r="C33" s="4">
        <f>ROUND((($X$27*(X33/9))+($Y$27*(X41/9))+($Z$27*(X49/9))+($X$28*AP33)+($X$28*AP41)*1),0)</f>
        <v>14097</v>
      </c>
      <c r="D33" s="4">
        <f>ROUND((($X$27*(Y33/9))+($Y$27*(Y41/9))+($Z$27*(Y49/9))+($X$28*AQ33)+($X$28*AQ41)*1),0)</f>
        <v>14097</v>
      </c>
      <c r="E33" s="4">
        <f t="shared" ref="C33:E34" si="31">ROUND((($X$27*(Z33/9))+($Y$27*(Z41/9))+($Z$27*(Z49/9))+($X$28*AR33)+($X$28*AR41)*1),0)</f>
        <v>14097</v>
      </c>
      <c r="F33" s="4">
        <f t="shared" ref="F33:R37" si="32">ROUND((($X$27*(AA33/9))+($Y$27*(AA41/9))+($Z$27*(AA49/9))+($X$28*AS33)+($Y$28*AS41)*1),0)</f>
        <v>14169</v>
      </c>
      <c r="G33" s="4">
        <f t="shared" si="32"/>
        <v>14196</v>
      </c>
      <c r="H33" s="4">
        <f t="shared" si="32"/>
        <v>14251</v>
      </c>
      <c r="I33" s="4">
        <f t="shared" si="32"/>
        <v>14305</v>
      </c>
      <c r="J33" s="4">
        <f t="shared" si="32"/>
        <v>14360</v>
      </c>
      <c r="K33" s="4">
        <f t="shared" si="32"/>
        <v>14415</v>
      </c>
      <c r="L33" s="4">
        <f t="shared" si="32"/>
        <v>14469</v>
      </c>
      <c r="M33" s="4">
        <f t="shared" si="32"/>
        <v>14524</v>
      </c>
      <c r="N33" s="4">
        <f t="shared" si="32"/>
        <v>14579</v>
      </c>
      <c r="O33" s="4">
        <f t="shared" si="32"/>
        <v>14633</v>
      </c>
      <c r="P33" s="4">
        <f t="shared" si="32"/>
        <v>14661</v>
      </c>
      <c r="Q33" s="4">
        <f t="shared" si="32"/>
        <v>14661</v>
      </c>
      <c r="R33" s="4">
        <f t="shared" si="32"/>
        <v>14661</v>
      </c>
      <c r="V33" s="4" t="s">
        <v>60</v>
      </c>
      <c r="W33" s="4" t="s">
        <v>61</v>
      </c>
      <c r="X33" s="4">
        <v>9</v>
      </c>
      <c r="Y33" s="4">
        <v>9</v>
      </c>
      <c r="Z33" s="4">
        <v>9</v>
      </c>
      <c r="AA33" s="4">
        <v>9</v>
      </c>
      <c r="AB33" s="4">
        <v>8.5</v>
      </c>
      <c r="AC33" s="4">
        <v>7.5</v>
      </c>
      <c r="AD33" s="4">
        <v>6.5</v>
      </c>
      <c r="AE33" s="4">
        <v>5.5</v>
      </c>
      <c r="AF33" s="4">
        <v>4.5</v>
      </c>
      <c r="AG33" s="4">
        <v>3.5</v>
      </c>
      <c r="AH33" s="4">
        <v>2.5</v>
      </c>
      <c r="AI33" s="4">
        <v>1.5</v>
      </c>
      <c r="AJ33" s="4">
        <v>0.5</v>
      </c>
      <c r="AK33" s="4">
        <v>0</v>
      </c>
      <c r="AL33" s="4">
        <v>0</v>
      </c>
      <c r="AM33" s="4">
        <v>0</v>
      </c>
      <c r="AN33" s="4" t="s">
        <v>60</v>
      </c>
      <c r="AO33" s="4" t="s">
        <v>62</v>
      </c>
      <c r="AP33" s="4">
        <v>0</v>
      </c>
      <c r="AQ33" s="4">
        <v>0</v>
      </c>
      <c r="AR33" s="4">
        <v>0</v>
      </c>
      <c r="AS33" s="4">
        <v>0</v>
      </c>
      <c r="AT33" s="4">
        <v>0</v>
      </c>
      <c r="AU33" s="4">
        <v>0</v>
      </c>
      <c r="AV33" s="4">
        <v>0</v>
      </c>
      <c r="AW33" s="4">
        <v>0</v>
      </c>
      <c r="AX33" s="4">
        <v>0</v>
      </c>
      <c r="AY33" s="4">
        <v>0</v>
      </c>
      <c r="AZ33" s="4">
        <v>0</v>
      </c>
      <c r="BA33" s="4">
        <v>0</v>
      </c>
      <c r="BB33" s="4">
        <v>0</v>
      </c>
      <c r="BC33" s="4">
        <v>0</v>
      </c>
      <c r="BD33" s="4">
        <v>0</v>
      </c>
      <c r="BE33" s="4">
        <v>0</v>
      </c>
    </row>
    <row r="34" spans="1:57">
      <c r="A34" s="10" t="s">
        <v>87</v>
      </c>
      <c r="B34" s="4">
        <v>11</v>
      </c>
      <c r="C34" s="4">
        <f t="shared" si="31"/>
        <v>14097</v>
      </c>
      <c r="D34" s="4">
        <f t="shared" si="31"/>
        <v>14097</v>
      </c>
      <c r="E34" s="4">
        <f t="shared" si="31"/>
        <v>14097</v>
      </c>
      <c r="F34" s="4">
        <f t="shared" si="32"/>
        <v>14169</v>
      </c>
      <c r="G34" s="4">
        <f t="shared" si="32"/>
        <v>14196</v>
      </c>
      <c r="H34" s="4">
        <f t="shared" si="32"/>
        <v>14251</v>
      </c>
      <c r="I34" s="4">
        <f t="shared" si="32"/>
        <v>14305</v>
      </c>
      <c r="J34" s="4">
        <f t="shared" si="32"/>
        <v>14360</v>
      </c>
      <c r="K34" s="4">
        <f t="shared" si="32"/>
        <v>14415</v>
      </c>
      <c r="L34" s="4">
        <f t="shared" si="32"/>
        <v>14469</v>
      </c>
      <c r="M34" s="4">
        <f t="shared" si="32"/>
        <v>14524</v>
      </c>
      <c r="N34" s="4">
        <f t="shared" si="32"/>
        <v>14579</v>
      </c>
      <c r="O34" s="4">
        <f t="shared" si="32"/>
        <v>14633</v>
      </c>
      <c r="P34" s="4">
        <f t="shared" si="32"/>
        <v>14661</v>
      </c>
      <c r="Q34" s="4">
        <f t="shared" si="32"/>
        <v>14661</v>
      </c>
      <c r="R34" s="4">
        <f t="shared" si="32"/>
        <v>14661</v>
      </c>
      <c r="V34" s="4" t="s">
        <v>65</v>
      </c>
      <c r="W34" s="4" t="s">
        <v>66</v>
      </c>
      <c r="X34" s="4">
        <v>9</v>
      </c>
      <c r="Y34" s="4">
        <v>9</v>
      </c>
      <c r="Z34" s="4">
        <v>9</v>
      </c>
      <c r="AA34" s="4">
        <v>9</v>
      </c>
      <c r="AB34" s="4">
        <v>8.5</v>
      </c>
      <c r="AC34" s="4">
        <v>7.5</v>
      </c>
      <c r="AD34" s="4">
        <v>6.5</v>
      </c>
      <c r="AE34" s="4">
        <v>5.5</v>
      </c>
      <c r="AF34" s="4">
        <v>4.5</v>
      </c>
      <c r="AG34" s="4">
        <v>3.5</v>
      </c>
      <c r="AH34" s="4">
        <v>2.5</v>
      </c>
      <c r="AI34" s="4">
        <v>1.5</v>
      </c>
      <c r="AJ34" s="4">
        <v>0.5</v>
      </c>
      <c r="AK34" s="4">
        <v>0</v>
      </c>
      <c r="AL34" s="4">
        <v>0</v>
      </c>
      <c r="AM34" s="4">
        <v>0</v>
      </c>
      <c r="AN34" s="4" t="s">
        <v>65</v>
      </c>
      <c r="AO34" s="4" t="s">
        <v>62</v>
      </c>
      <c r="AP34" s="4">
        <v>0</v>
      </c>
      <c r="AQ34" s="4">
        <v>0</v>
      </c>
      <c r="AR34" s="4">
        <v>0</v>
      </c>
      <c r="AS34" s="4">
        <v>0</v>
      </c>
      <c r="AT34" s="4">
        <v>0</v>
      </c>
      <c r="AU34" s="4">
        <v>0</v>
      </c>
      <c r="AV34" s="4">
        <v>0</v>
      </c>
      <c r="AW34" s="4">
        <v>0</v>
      </c>
      <c r="AX34" s="4">
        <v>0</v>
      </c>
      <c r="AY34" s="4">
        <v>0</v>
      </c>
      <c r="AZ34" s="4">
        <v>0</v>
      </c>
      <c r="BA34" s="4">
        <v>0</v>
      </c>
      <c r="BB34" s="4">
        <v>0</v>
      </c>
      <c r="BC34" s="4">
        <v>0</v>
      </c>
      <c r="BD34" s="4">
        <v>0</v>
      </c>
      <c r="BE34" s="4">
        <v>0</v>
      </c>
    </row>
    <row r="35" spans="1:57">
      <c r="A35" s="10" t="s">
        <v>88</v>
      </c>
      <c r="B35" s="4">
        <v>10</v>
      </c>
      <c r="C35" s="4">
        <f t="shared" ref="C35:E37" si="33">ROUND((($X$27*(X35/9))+($Y$27*(X43/9))+($Z$27*(X51/9))+($X$28*AP35)+($Y$28*AP43)*1),0)</f>
        <v>12297</v>
      </c>
      <c r="D35" s="4">
        <f t="shared" si="33"/>
        <v>12297</v>
      </c>
      <c r="E35" s="4">
        <f t="shared" si="33"/>
        <v>12297</v>
      </c>
      <c r="F35" s="4">
        <f t="shared" si="32"/>
        <v>12297</v>
      </c>
      <c r="G35" s="4">
        <f t="shared" si="32"/>
        <v>12324</v>
      </c>
      <c r="H35" s="4">
        <f t="shared" si="32"/>
        <v>12379</v>
      </c>
      <c r="I35" s="4">
        <f t="shared" si="32"/>
        <v>12434</v>
      </c>
      <c r="J35" s="4">
        <f t="shared" si="32"/>
        <v>12488</v>
      </c>
      <c r="K35" s="4">
        <f t="shared" si="32"/>
        <v>12543</v>
      </c>
      <c r="L35" s="4">
        <f t="shared" si="32"/>
        <v>12598</v>
      </c>
      <c r="M35" s="4">
        <f t="shared" si="32"/>
        <v>12652</v>
      </c>
      <c r="N35" s="4">
        <f t="shared" si="32"/>
        <v>12707</v>
      </c>
      <c r="O35" s="4">
        <f t="shared" si="32"/>
        <v>12762</v>
      </c>
      <c r="P35" s="4">
        <f t="shared" si="32"/>
        <v>12789</v>
      </c>
      <c r="Q35" s="4">
        <f t="shared" si="32"/>
        <v>12789</v>
      </c>
      <c r="R35" s="4">
        <f t="shared" si="32"/>
        <v>12789</v>
      </c>
      <c r="V35" s="4" t="s">
        <v>69</v>
      </c>
      <c r="W35" s="4" t="s">
        <v>66</v>
      </c>
      <c r="X35" s="4">
        <v>9</v>
      </c>
      <c r="Y35" s="4">
        <v>9</v>
      </c>
      <c r="Z35" s="4">
        <v>9</v>
      </c>
      <c r="AA35" s="4">
        <v>9</v>
      </c>
      <c r="AB35" s="4">
        <v>8.5</v>
      </c>
      <c r="AC35" s="4">
        <v>7.5</v>
      </c>
      <c r="AD35" s="4">
        <v>6.5</v>
      </c>
      <c r="AE35" s="4">
        <v>5.5</v>
      </c>
      <c r="AF35" s="4">
        <v>4.5</v>
      </c>
      <c r="AG35" s="4">
        <v>3.5</v>
      </c>
      <c r="AH35" s="4">
        <v>2.5</v>
      </c>
      <c r="AI35" s="4">
        <v>1.5</v>
      </c>
      <c r="AJ35" s="4">
        <v>0.5</v>
      </c>
      <c r="AK35" s="4">
        <v>0</v>
      </c>
      <c r="AL35" s="4">
        <v>0</v>
      </c>
      <c r="AM35" s="4">
        <v>0</v>
      </c>
      <c r="AN35" s="4" t="s">
        <v>69</v>
      </c>
      <c r="AO35" s="4" t="s">
        <v>62</v>
      </c>
      <c r="AP35" s="4">
        <v>0</v>
      </c>
      <c r="AQ35" s="4">
        <v>0</v>
      </c>
      <c r="AR35" s="4">
        <v>0</v>
      </c>
      <c r="AS35" s="4">
        <v>0</v>
      </c>
      <c r="AT35" s="4">
        <v>0</v>
      </c>
      <c r="AU35" s="4">
        <v>0</v>
      </c>
      <c r="AV35" s="4">
        <v>0</v>
      </c>
      <c r="AW35" s="4">
        <v>0</v>
      </c>
      <c r="AX35" s="4">
        <v>0</v>
      </c>
      <c r="AY35" s="4">
        <v>0</v>
      </c>
      <c r="AZ35" s="4">
        <v>0</v>
      </c>
      <c r="BA35" s="4">
        <v>0</v>
      </c>
      <c r="BB35" s="4">
        <v>0</v>
      </c>
      <c r="BC35" s="4">
        <v>0</v>
      </c>
      <c r="BD35" s="4">
        <v>0</v>
      </c>
      <c r="BE35" s="4">
        <v>0</v>
      </c>
    </row>
    <row r="36" spans="1:57">
      <c r="A36" s="10" t="s">
        <v>88</v>
      </c>
      <c r="B36" s="4">
        <v>9</v>
      </c>
      <c r="C36" s="4">
        <f>ROUND((($X$27*(X36/9))+($Y$27*(X44/9))+($Z$27*(X52/9))+($X$28*AP36)+($Y$28*AP44)*1),0)</f>
        <v>12297</v>
      </c>
      <c r="D36" s="4">
        <f t="shared" si="33"/>
        <v>12297</v>
      </c>
      <c r="E36" s="4">
        <f t="shared" si="33"/>
        <v>12297</v>
      </c>
      <c r="F36" s="4">
        <f t="shared" si="32"/>
        <v>12297</v>
      </c>
      <c r="G36" s="4">
        <f t="shared" si="32"/>
        <v>12324</v>
      </c>
      <c r="H36" s="4">
        <f t="shared" si="32"/>
        <v>12379</v>
      </c>
      <c r="I36" s="4">
        <f t="shared" si="32"/>
        <v>12434</v>
      </c>
      <c r="J36" s="4">
        <f t="shared" si="32"/>
        <v>12488</v>
      </c>
      <c r="K36" s="4">
        <f t="shared" si="32"/>
        <v>12543</v>
      </c>
      <c r="L36" s="4">
        <f t="shared" si="32"/>
        <v>12598</v>
      </c>
      <c r="M36" s="4">
        <f t="shared" si="32"/>
        <v>12652</v>
      </c>
      <c r="N36" s="4">
        <f t="shared" si="32"/>
        <v>12707</v>
      </c>
      <c r="O36" s="4">
        <f t="shared" si="32"/>
        <v>12762</v>
      </c>
      <c r="P36" s="4">
        <f t="shared" si="32"/>
        <v>12789</v>
      </c>
      <c r="Q36" s="4">
        <f t="shared" si="32"/>
        <v>12789</v>
      </c>
      <c r="R36" s="4">
        <f t="shared" si="32"/>
        <v>12789</v>
      </c>
      <c r="V36" s="4" t="s">
        <v>71</v>
      </c>
      <c r="W36" s="4" t="s">
        <v>66</v>
      </c>
      <c r="X36" s="4">
        <v>9</v>
      </c>
      <c r="Y36" s="4">
        <v>9</v>
      </c>
      <c r="Z36" s="4">
        <v>9</v>
      </c>
      <c r="AA36" s="4">
        <v>9</v>
      </c>
      <c r="AB36" s="4">
        <v>8.5</v>
      </c>
      <c r="AC36" s="4">
        <v>7.5</v>
      </c>
      <c r="AD36" s="4">
        <v>6.5</v>
      </c>
      <c r="AE36" s="4">
        <v>5.5</v>
      </c>
      <c r="AF36" s="4">
        <v>4.5</v>
      </c>
      <c r="AG36" s="4">
        <v>3.5</v>
      </c>
      <c r="AH36" s="4">
        <v>2.5</v>
      </c>
      <c r="AI36" s="4">
        <v>1.5</v>
      </c>
      <c r="AJ36" s="4">
        <v>0.5</v>
      </c>
      <c r="AK36" s="4">
        <v>0</v>
      </c>
      <c r="AL36" s="4">
        <v>0</v>
      </c>
      <c r="AM36" s="4">
        <v>0</v>
      </c>
      <c r="AN36" s="4" t="s">
        <v>71</v>
      </c>
      <c r="AO36" s="4" t="s">
        <v>62</v>
      </c>
      <c r="AP36" s="4">
        <v>0</v>
      </c>
      <c r="AQ36" s="4">
        <v>0</v>
      </c>
      <c r="AR36" s="4">
        <v>0</v>
      </c>
      <c r="AS36" s="4">
        <v>0</v>
      </c>
      <c r="AT36" s="4">
        <v>0</v>
      </c>
      <c r="AU36" s="4">
        <v>0</v>
      </c>
      <c r="AV36" s="4">
        <v>0</v>
      </c>
      <c r="AW36" s="4">
        <v>0</v>
      </c>
      <c r="AX36" s="4">
        <v>0</v>
      </c>
      <c r="AY36" s="4">
        <v>0</v>
      </c>
      <c r="AZ36" s="4">
        <v>0</v>
      </c>
      <c r="BA36" s="4">
        <v>0</v>
      </c>
      <c r="BB36" s="4">
        <v>0</v>
      </c>
      <c r="BC36" s="4">
        <v>0</v>
      </c>
      <c r="BD36" s="4">
        <v>0</v>
      </c>
      <c r="BE36" s="4">
        <v>0</v>
      </c>
    </row>
    <row r="37" spans="1:57">
      <c r="A37" s="10" t="s">
        <v>89</v>
      </c>
      <c r="B37" s="31" t="s">
        <v>90</v>
      </c>
      <c r="C37" s="4">
        <f t="shared" si="33"/>
        <v>1800</v>
      </c>
      <c r="D37" s="4">
        <f t="shared" si="33"/>
        <v>1800</v>
      </c>
      <c r="E37" s="4">
        <f t="shared" si="33"/>
        <v>1800</v>
      </c>
      <c r="F37" s="4">
        <f t="shared" si="32"/>
        <v>1872</v>
      </c>
      <c r="G37" s="4">
        <f t="shared" si="32"/>
        <v>1872</v>
      </c>
      <c r="H37" s="4">
        <f t="shared" si="32"/>
        <v>1872</v>
      </c>
      <c r="I37" s="4">
        <f t="shared" si="32"/>
        <v>1872</v>
      </c>
      <c r="J37" s="4">
        <f t="shared" si="32"/>
        <v>1872</v>
      </c>
      <c r="K37" s="4">
        <f t="shared" si="32"/>
        <v>1872</v>
      </c>
      <c r="L37" s="4">
        <f t="shared" si="32"/>
        <v>1872</v>
      </c>
      <c r="M37" s="4">
        <f t="shared" si="32"/>
        <v>1872</v>
      </c>
      <c r="N37" s="4">
        <f t="shared" si="32"/>
        <v>1872</v>
      </c>
      <c r="O37" s="4">
        <f t="shared" si="32"/>
        <v>1872</v>
      </c>
      <c r="P37" s="4">
        <f t="shared" si="32"/>
        <v>1872</v>
      </c>
      <c r="Q37" s="4">
        <f t="shared" si="32"/>
        <v>1872</v>
      </c>
      <c r="R37" s="4">
        <f t="shared" si="32"/>
        <v>1872</v>
      </c>
      <c r="V37" s="4" t="s">
        <v>73</v>
      </c>
      <c r="W37" s="4" t="s">
        <v>62</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t="s">
        <v>73</v>
      </c>
      <c r="AO37" s="4" t="s">
        <v>91</v>
      </c>
      <c r="AP37" s="4">
        <v>1</v>
      </c>
      <c r="AQ37" s="4">
        <v>1</v>
      </c>
      <c r="AR37" s="4">
        <v>1</v>
      </c>
      <c r="AS37" s="4">
        <v>0</v>
      </c>
      <c r="AT37" s="4">
        <v>0</v>
      </c>
      <c r="AU37" s="4">
        <v>0</v>
      </c>
      <c r="AV37" s="4">
        <v>0</v>
      </c>
      <c r="AW37" s="4">
        <v>0</v>
      </c>
      <c r="AX37" s="4">
        <v>0</v>
      </c>
      <c r="AY37" s="4">
        <v>0</v>
      </c>
      <c r="AZ37" s="4">
        <v>0</v>
      </c>
      <c r="BA37" s="4">
        <v>0</v>
      </c>
      <c r="BB37" s="4">
        <v>0</v>
      </c>
      <c r="BC37" s="4">
        <v>0</v>
      </c>
      <c r="BD37" s="4">
        <v>0</v>
      </c>
      <c r="BE37" s="4">
        <v>0</v>
      </c>
    </row>
    <row r="38" spans="1:57">
      <c r="W38" s="14"/>
      <c r="X38" s="14"/>
      <c r="AO38" s="14"/>
      <c r="AP38" s="14"/>
    </row>
    <row r="39" spans="1:57" ht="15.75">
      <c r="A39" s="11" t="s">
        <v>92</v>
      </c>
      <c r="V39" s="114"/>
      <c r="W39" s="113"/>
      <c r="AN39" s="20"/>
      <c r="AP39" s="110">
        <f t="shared" ref="AP39:BE39" si="34">+X40</f>
        <v>44012</v>
      </c>
      <c r="AQ39" s="110">
        <f t="shared" si="34"/>
        <v>44027</v>
      </c>
      <c r="AR39" s="110">
        <f t="shared" si="34"/>
        <v>44043</v>
      </c>
      <c r="AS39" s="110">
        <f t="shared" si="34"/>
        <v>44058</v>
      </c>
      <c r="AT39" s="110">
        <f t="shared" si="34"/>
        <v>44074</v>
      </c>
      <c r="AU39" s="110">
        <f t="shared" si="34"/>
        <v>44104</v>
      </c>
      <c r="AV39" s="110">
        <f t="shared" si="34"/>
        <v>44135</v>
      </c>
      <c r="AW39" s="110">
        <f t="shared" si="34"/>
        <v>44165</v>
      </c>
      <c r="AX39" s="110">
        <f t="shared" si="34"/>
        <v>44196</v>
      </c>
      <c r="AY39" s="110">
        <f t="shared" si="34"/>
        <v>44227</v>
      </c>
      <c r="AZ39" s="110">
        <f t="shared" si="34"/>
        <v>44255</v>
      </c>
      <c r="BA39" s="110">
        <f t="shared" si="34"/>
        <v>44286</v>
      </c>
      <c r="BB39" s="110">
        <f t="shared" si="34"/>
        <v>44316</v>
      </c>
      <c r="BC39" s="110">
        <f t="shared" si="34"/>
        <v>44331</v>
      </c>
      <c r="BD39" s="110">
        <f t="shared" si="34"/>
        <v>44347</v>
      </c>
      <c r="BE39" s="110">
        <f t="shared" si="34"/>
        <v>44362</v>
      </c>
    </row>
    <row r="40" spans="1:57">
      <c r="B40" s="13" t="s">
        <v>54</v>
      </c>
      <c r="V40" s="115"/>
      <c r="W40" s="116"/>
      <c r="X40" s="110">
        <f t="shared" ref="X40:AM40" si="35">+C41</f>
        <v>44012</v>
      </c>
      <c r="Y40" s="110">
        <f t="shared" si="35"/>
        <v>44027</v>
      </c>
      <c r="Z40" s="110">
        <f t="shared" si="35"/>
        <v>44043</v>
      </c>
      <c r="AA40" s="110">
        <f t="shared" si="35"/>
        <v>44058</v>
      </c>
      <c r="AB40" s="110">
        <f t="shared" si="35"/>
        <v>44074</v>
      </c>
      <c r="AC40" s="110">
        <f t="shared" si="35"/>
        <v>44104</v>
      </c>
      <c r="AD40" s="110">
        <f t="shared" si="35"/>
        <v>44135</v>
      </c>
      <c r="AE40" s="110">
        <f t="shared" si="35"/>
        <v>44165</v>
      </c>
      <c r="AF40" s="110">
        <f t="shared" si="35"/>
        <v>44196</v>
      </c>
      <c r="AG40" s="110">
        <f t="shared" si="35"/>
        <v>44227</v>
      </c>
      <c r="AH40" s="110">
        <f t="shared" si="35"/>
        <v>44255</v>
      </c>
      <c r="AI40" s="110">
        <f t="shared" si="35"/>
        <v>44286</v>
      </c>
      <c r="AJ40" s="110">
        <f t="shared" si="35"/>
        <v>44316</v>
      </c>
      <c r="AK40" s="110">
        <f t="shared" si="35"/>
        <v>44331</v>
      </c>
      <c r="AL40" s="110">
        <f t="shared" si="35"/>
        <v>44347</v>
      </c>
      <c r="AM40" s="110">
        <f t="shared" si="35"/>
        <v>44362</v>
      </c>
      <c r="AN40" s="20"/>
      <c r="AP40" s="20"/>
      <c r="AQ40" s="20"/>
      <c r="AR40" s="20"/>
      <c r="AS40" s="20"/>
      <c r="AT40" s="20"/>
      <c r="AU40" s="20"/>
      <c r="AV40" s="20"/>
      <c r="AW40" s="20"/>
      <c r="AX40" s="20"/>
      <c r="AY40" s="20"/>
      <c r="AZ40" s="20"/>
      <c r="BA40" s="20"/>
      <c r="BB40" s="20"/>
      <c r="BC40" s="20"/>
      <c r="BD40" s="20"/>
      <c r="BE40" s="20"/>
    </row>
    <row r="41" spans="1:57">
      <c r="A41" s="16"/>
      <c r="B41" s="17" t="s">
        <v>58</v>
      </c>
      <c r="C41" s="18">
        <f t="shared" ref="C41:R41" si="36">+C31</f>
        <v>44012</v>
      </c>
      <c r="D41" s="18">
        <f t="shared" si="36"/>
        <v>44027</v>
      </c>
      <c r="E41" s="18">
        <f t="shared" si="36"/>
        <v>44043</v>
      </c>
      <c r="F41" s="18">
        <f t="shared" si="36"/>
        <v>44058</v>
      </c>
      <c r="G41" s="18">
        <f t="shared" si="36"/>
        <v>44074</v>
      </c>
      <c r="H41" s="18">
        <f t="shared" si="36"/>
        <v>44104</v>
      </c>
      <c r="I41" s="18">
        <f t="shared" si="36"/>
        <v>44135</v>
      </c>
      <c r="J41" s="18">
        <f t="shared" si="36"/>
        <v>44165</v>
      </c>
      <c r="K41" s="18">
        <f t="shared" si="36"/>
        <v>44196</v>
      </c>
      <c r="L41" s="18">
        <f t="shared" si="36"/>
        <v>44227</v>
      </c>
      <c r="M41" s="18">
        <f t="shared" si="36"/>
        <v>44255</v>
      </c>
      <c r="N41" s="18">
        <f t="shared" si="36"/>
        <v>44286</v>
      </c>
      <c r="O41" s="18">
        <f t="shared" si="36"/>
        <v>44316</v>
      </c>
      <c r="P41" s="18">
        <f t="shared" si="36"/>
        <v>44331</v>
      </c>
      <c r="Q41" s="18">
        <f t="shared" si="36"/>
        <v>44347</v>
      </c>
      <c r="R41" s="18">
        <f t="shared" si="36"/>
        <v>44362</v>
      </c>
      <c r="V41" s="4" t="s">
        <v>60</v>
      </c>
      <c r="W41" s="4" t="s">
        <v>67</v>
      </c>
      <c r="X41" s="4">
        <f>9-X33</f>
        <v>0</v>
      </c>
      <c r="Y41" s="4">
        <f t="shared" ref="X41:AI44" si="37">9-Y33</f>
        <v>0</v>
      </c>
      <c r="Z41" s="4">
        <f t="shared" si="37"/>
        <v>0</v>
      </c>
      <c r="AA41" s="4">
        <f t="shared" si="37"/>
        <v>0</v>
      </c>
      <c r="AB41" s="4">
        <f t="shared" si="37"/>
        <v>0.5</v>
      </c>
      <c r="AC41" s="4">
        <f t="shared" si="37"/>
        <v>1.5</v>
      </c>
      <c r="AD41" s="4">
        <f t="shared" si="37"/>
        <v>2.5</v>
      </c>
      <c r="AE41" s="4">
        <f t="shared" si="37"/>
        <v>3.5</v>
      </c>
      <c r="AF41" s="4">
        <f t="shared" si="37"/>
        <v>4.5</v>
      </c>
      <c r="AG41" s="4">
        <f t="shared" si="37"/>
        <v>5.5</v>
      </c>
      <c r="AH41" s="4">
        <f t="shared" si="37"/>
        <v>6.5</v>
      </c>
      <c r="AI41" s="4">
        <f t="shared" si="37"/>
        <v>7.5</v>
      </c>
      <c r="AJ41" s="4">
        <v>8.5</v>
      </c>
      <c r="AK41" s="4">
        <v>9</v>
      </c>
      <c r="AL41" s="4">
        <v>9</v>
      </c>
      <c r="AM41" s="4">
        <v>9</v>
      </c>
      <c r="AN41" s="4" t="s">
        <v>60</v>
      </c>
      <c r="AO41" s="4" t="s">
        <v>74</v>
      </c>
      <c r="AP41" s="4">
        <f t="shared" ref="AP41:BE42" si="38">1-AP33</f>
        <v>1</v>
      </c>
      <c r="AQ41" s="4">
        <f t="shared" si="38"/>
        <v>1</v>
      </c>
      <c r="AR41" s="4">
        <f t="shared" si="38"/>
        <v>1</v>
      </c>
      <c r="AS41" s="4">
        <f t="shared" si="38"/>
        <v>1</v>
      </c>
      <c r="AT41" s="4">
        <f t="shared" si="38"/>
        <v>1</v>
      </c>
      <c r="AU41" s="4">
        <f t="shared" si="38"/>
        <v>1</v>
      </c>
      <c r="AV41" s="4">
        <f t="shared" si="38"/>
        <v>1</v>
      </c>
      <c r="AW41" s="4">
        <f t="shared" si="38"/>
        <v>1</v>
      </c>
      <c r="AX41" s="4">
        <f t="shared" si="38"/>
        <v>1</v>
      </c>
      <c r="AY41" s="4">
        <f t="shared" si="38"/>
        <v>1</v>
      </c>
      <c r="AZ41" s="4">
        <f t="shared" si="38"/>
        <v>1</v>
      </c>
      <c r="BA41" s="4">
        <f t="shared" si="38"/>
        <v>1</v>
      </c>
      <c r="BB41" s="4">
        <f t="shared" si="38"/>
        <v>1</v>
      </c>
      <c r="BC41" s="4">
        <f t="shared" si="38"/>
        <v>1</v>
      </c>
      <c r="BD41" s="4">
        <f t="shared" si="38"/>
        <v>1</v>
      </c>
      <c r="BE41" s="4">
        <f t="shared" si="38"/>
        <v>1</v>
      </c>
    </row>
    <row r="42" spans="1:57">
      <c r="V42" s="4" t="s">
        <v>65</v>
      </c>
      <c r="W42" s="4" t="s">
        <v>67</v>
      </c>
      <c r="X42" s="4">
        <f t="shared" si="37"/>
        <v>0</v>
      </c>
      <c r="Y42" s="4">
        <f t="shared" si="37"/>
        <v>0</v>
      </c>
      <c r="Z42" s="4">
        <f t="shared" si="37"/>
        <v>0</v>
      </c>
      <c r="AA42" s="4">
        <f t="shared" si="37"/>
        <v>0</v>
      </c>
      <c r="AB42" s="4">
        <f t="shared" si="37"/>
        <v>0.5</v>
      </c>
      <c r="AC42" s="4">
        <f t="shared" si="37"/>
        <v>1.5</v>
      </c>
      <c r="AD42" s="4">
        <f t="shared" si="37"/>
        <v>2.5</v>
      </c>
      <c r="AE42" s="4">
        <f t="shared" si="37"/>
        <v>3.5</v>
      </c>
      <c r="AF42" s="4">
        <f t="shared" si="37"/>
        <v>4.5</v>
      </c>
      <c r="AG42" s="4">
        <f t="shared" si="37"/>
        <v>5.5</v>
      </c>
      <c r="AH42" s="4">
        <f t="shared" si="37"/>
        <v>6.5</v>
      </c>
      <c r="AI42" s="4">
        <f t="shared" si="37"/>
        <v>7.5</v>
      </c>
      <c r="AJ42" s="4">
        <v>8.5</v>
      </c>
      <c r="AK42" s="4">
        <v>9</v>
      </c>
      <c r="AL42" s="4">
        <v>9</v>
      </c>
      <c r="AM42" s="4">
        <v>9</v>
      </c>
      <c r="AN42" s="4" t="s">
        <v>65</v>
      </c>
      <c r="AO42" s="4" t="s">
        <v>74</v>
      </c>
      <c r="AP42" s="4">
        <f t="shared" si="38"/>
        <v>1</v>
      </c>
      <c r="AQ42" s="4">
        <f t="shared" si="38"/>
        <v>1</v>
      </c>
      <c r="AR42" s="4">
        <f t="shared" si="38"/>
        <v>1</v>
      </c>
      <c r="AS42" s="4">
        <f t="shared" si="38"/>
        <v>1</v>
      </c>
      <c r="AT42" s="4">
        <f t="shared" si="38"/>
        <v>1</v>
      </c>
      <c r="AU42" s="4">
        <f t="shared" si="38"/>
        <v>1</v>
      </c>
      <c r="AV42" s="4">
        <f t="shared" si="38"/>
        <v>1</v>
      </c>
      <c r="AW42" s="4">
        <f t="shared" si="38"/>
        <v>1</v>
      </c>
      <c r="AX42" s="4">
        <f t="shared" si="38"/>
        <v>1</v>
      </c>
      <c r="AY42" s="4">
        <f t="shared" si="38"/>
        <v>1</v>
      </c>
      <c r="AZ42" s="4">
        <f t="shared" si="38"/>
        <v>1</v>
      </c>
      <c r="BA42" s="4">
        <f t="shared" si="38"/>
        <v>1</v>
      </c>
      <c r="BB42" s="4">
        <f t="shared" si="38"/>
        <v>1</v>
      </c>
      <c r="BC42" s="4">
        <f t="shared" si="38"/>
        <v>1</v>
      </c>
      <c r="BD42" s="4">
        <f t="shared" si="38"/>
        <v>1</v>
      </c>
      <c r="BE42" s="4">
        <f t="shared" si="38"/>
        <v>1</v>
      </c>
    </row>
    <row r="43" spans="1:57">
      <c r="A43" s="10" t="s">
        <v>87</v>
      </c>
      <c r="B43" s="4">
        <v>12</v>
      </c>
      <c r="C43" s="4">
        <f>ROUND((($AB$27*(X33/9))+($AC$27*(X41/9))+($AD$27*(X49/9))+($AB$28*AP33)+($AB$28*AP41)*1),0)</f>
        <v>29642</v>
      </c>
      <c r="D43" s="4">
        <f t="shared" ref="C43:E44" si="39">ROUND((($AB$27*(Y33/9))+($AC$27*(Y41/9))+($AD$27*(Y49/9))+($AB$28*AQ33)+($AB$28*AQ41)*1),0)</f>
        <v>29642</v>
      </c>
      <c r="E43" s="4">
        <f t="shared" si="39"/>
        <v>29642</v>
      </c>
      <c r="F43" s="4">
        <f t="shared" ref="F43:R47" si="40">ROUND((($AB$27*(AA33/9))+($AC$27*(AA41/9))+($AD$27*(AA49/9))+($AB$28*AS33)+($AC$28*AS41)*1),0)</f>
        <v>29714</v>
      </c>
      <c r="G43" s="4">
        <f t="shared" si="40"/>
        <v>29775</v>
      </c>
      <c r="H43" s="4">
        <f t="shared" si="40"/>
        <v>29899</v>
      </c>
      <c r="I43" s="4">
        <f t="shared" si="40"/>
        <v>30023</v>
      </c>
      <c r="J43" s="4">
        <f t="shared" si="40"/>
        <v>30147</v>
      </c>
      <c r="K43" s="4">
        <f t="shared" si="40"/>
        <v>30271</v>
      </c>
      <c r="L43" s="4">
        <f t="shared" si="40"/>
        <v>30394</v>
      </c>
      <c r="M43" s="4">
        <f t="shared" si="40"/>
        <v>30518</v>
      </c>
      <c r="N43" s="4">
        <f t="shared" si="40"/>
        <v>30642</v>
      </c>
      <c r="O43" s="4">
        <f t="shared" si="40"/>
        <v>30766</v>
      </c>
      <c r="P43" s="4">
        <f t="shared" si="40"/>
        <v>30828</v>
      </c>
      <c r="Q43" s="4">
        <f t="shared" si="40"/>
        <v>30828</v>
      </c>
      <c r="R43" s="4">
        <f t="shared" si="40"/>
        <v>30828</v>
      </c>
      <c r="V43" s="4" t="s">
        <v>69</v>
      </c>
      <c r="W43" s="4" t="s">
        <v>67</v>
      </c>
      <c r="X43" s="4">
        <f t="shared" si="37"/>
        <v>0</v>
      </c>
      <c r="Y43" s="4">
        <f t="shared" si="37"/>
        <v>0</v>
      </c>
      <c r="Z43" s="4">
        <f t="shared" si="37"/>
        <v>0</v>
      </c>
      <c r="AA43" s="4">
        <f t="shared" si="37"/>
        <v>0</v>
      </c>
      <c r="AB43" s="4">
        <f t="shared" si="37"/>
        <v>0.5</v>
      </c>
      <c r="AC43" s="4">
        <f t="shared" si="37"/>
        <v>1.5</v>
      </c>
      <c r="AD43" s="4">
        <f t="shared" si="37"/>
        <v>2.5</v>
      </c>
      <c r="AE43" s="4">
        <f t="shared" si="37"/>
        <v>3.5</v>
      </c>
      <c r="AF43" s="4">
        <f t="shared" si="37"/>
        <v>4.5</v>
      </c>
      <c r="AG43" s="4">
        <f t="shared" si="37"/>
        <v>5.5</v>
      </c>
      <c r="AH43" s="4">
        <f t="shared" si="37"/>
        <v>6.5</v>
      </c>
      <c r="AI43" s="4">
        <f t="shared" si="37"/>
        <v>7.5</v>
      </c>
      <c r="AJ43" s="4">
        <v>8.5</v>
      </c>
      <c r="AK43" s="4">
        <v>9</v>
      </c>
      <c r="AL43" s="4">
        <v>9</v>
      </c>
      <c r="AM43" s="4">
        <v>9</v>
      </c>
      <c r="AN43" s="4" t="s">
        <v>69</v>
      </c>
      <c r="AO43" s="4" t="s">
        <v>74</v>
      </c>
      <c r="AP43" s="4">
        <v>0</v>
      </c>
      <c r="AQ43" s="4">
        <v>0</v>
      </c>
      <c r="AR43" s="4">
        <v>0</v>
      </c>
      <c r="AS43" s="4">
        <v>0</v>
      </c>
      <c r="AT43" s="4">
        <v>0</v>
      </c>
      <c r="AU43" s="4">
        <v>0</v>
      </c>
      <c r="AV43" s="4">
        <v>0</v>
      </c>
      <c r="AW43" s="4">
        <v>0</v>
      </c>
      <c r="AX43" s="4">
        <v>0</v>
      </c>
      <c r="AY43" s="4">
        <v>0</v>
      </c>
      <c r="AZ43" s="4">
        <v>0</v>
      </c>
      <c r="BA43" s="4">
        <v>0</v>
      </c>
      <c r="BB43" s="4">
        <v>0</v>
      </c>
      <c r="BC43" s="4">
        <v>0</v>
      </c>
      <c r="BD43" s="4">
        <v>0</v>
      </c>
      <c r="BE43" s="4">
        <v>0</v>
      </c>
    </row>
    <row r="44" spans="1:57">
      <c r="A44" s="10" t="s">
        <v>87</v>
      </c>
      <c r="B44" s="4">
        <v>11</v>
      </c>
      <c r="C44" s="4">
        <f t="shared" si="39"/>
        <v>29642</v>
      </c>
      <c r="D44" s="4">
        <f t="shared" si="39"/>
        <v>29642</v>
      </c>
      <c r="E44" s="4">
        <f t="shared" si="39"/>
        <v>29642</v>
      </c>
      <c r="F44" s="4">
        <f t="shared" si="40"/>
        <v>29714</v>
      </c>
      <c r="G44" s="4">
        <f t="shared" si="40"/>
        <v>29775</v>
      </c>
      <c r="H44" s="4">
        <f t="shared" si="40"/>
        <v>29899</v>
      </c>
      <c r="I44" s="4">
        <f t="shared" si="40"/>
        <v>30023</v>
      </c>
      <c r="J44" s="4">
        <f t="shared" si="40"/>
        <v>30147</v>
      </c>
      <c r="K44" s="4">
        <f t="shared" si="40"/>
        <v>30271</v>
      </c>
      <c r="L44" s="4">
        <f t="shared" si="40"/>
        <v>30394</v>
      </c>
      <c r="M44" s="4">
        <f t="shared" si="40"/>
        <v>30518</v>
      </c>
      <c r="N44" s="4">
        <f t="shared" si="40"/>
        <v>30642</v>
      </c>
      <c r="O44" s="4">
        <f t="shared" si="40"/>
        <v>30766</v>
      </c>
      <c r="P44" s="4">
        <f t="shared" si="40"/>
        <v>30828</v>
      </c>
      <c r="Q44" s="4">
        <f t="shared" si="40"/>
        <v>30828</v>
      </c>
      <c r="R44" s="4">
        <f t="shared" si="40"/>
        <v>30828</v>
      </c>
      <c r="V44" s="4" t="s">
        <v>71</v>
      </c>
      <c r="W44" s="4" t="s">
        <v>93</v>
      </c>
      <c r="X44" s="4">
        <f t="shared" si="37"/>
        <v>0</v>
      </c>
      <c r="Y44" s="4">
        <f t="shared" si="37"/>
        <v>0</v>
      </c>
      <c r="Z44" s="4">
        <f t="shared" si="37"/>
        <v>0</v>
      </c>
      <c r="AA44" s="4">
        <f t="shared" si="37"/>
        <v>0</v>
      </c>
      <c r="AB44" s="4">
        <f t="shared" si="37"/>
        <v>0.5</v>
      </c>
      <c r="AC44" s="4">
        <f t="shared" si="37"/>
        <v>1.5</v>
      </c>
      <c r="AD44" s="4">
        <f t="shared" si="37"/>
        <v>2.5</v>
      </c>
      <c r="AE44" s="4">
        <f t="shared" si="37"/>
        <v>3.5</v>
      </c>
      <c r="AF44" s="4">
        <f t="shared" si="37"/>
        <v>4.5</v>
      </c>
      <c r="AG44" s="4">
        <f t="shared" si="37"/>
        <v>5.5</v>
      </c>
      <c r="AH44" s="4">
        <f t="shared" si="37"/>
        <v>6.5</v>
      </c>
      <c r="AI44" s="4">
        <f t="shared" si="37"/>
        <v>7.5</v>
      </c>
      <c r="AJ44" s="4">
        <v>8.5</v>
      </c>
      <c r="AK44" s="4">
        <v>9</v>
      </c>
      <c r="AL44" s="4">
        <v>9</v>
      </c>
      <c r="AM44" s="4">
        <v>9</v>
      </c>
      <c r="AN44" s="4" t="s">
        <v>71</v>
      </c>
      <c r="AO44" s="4" t="s">
        <v>74</v>
      </c>
      <c r="AP44" s="4">
        <v>0</v>
      </c>
      <c r="AQ44" s="4">
        <v>0</v>
      </c>
      <c r="AR44" s="4">
        <v>0</v>
      </c>
      <c r="AS44" s="4">
        <v>0</v>
      </c>
      <c r="AT44" s="4">
        <v>0</v>
      </c>
      <c r="AU44" s="4">
        <v>0</v>
      </c>
      <c r="AV44" s="4">
        <v>0</v>
      </c>
      <c r="AW44" s="4">
        <v>0</v>
      </c>
      <c r="AX44" s="4">
        <v>0</v>
      </c>
      <c r="AY44" s="4">
        <v>0</v>
      </c>
      <c r="AZ44" s="4">
        <v>0</v>
      </c>
      <c r="BA44" s="4">
        <v>0</v>
      </c>
      <c r="BB44" s="4">
        <v>0</v>
      </c>
      <c r="BC44" s="4">
        <v>0</v>
      </c>
      <c r="BD44" s="4">
        <v>0</v>
      </c>
      <c r="BE44" s="4">
        <v>0</v>
      </c>
    </row>
    <row r="45" spans="1:57">
      <c r="A45" s="10" t="s">
        <v>88</v>
      </c>
      <c r="B45" s="4">
        <v>10</v>
      </c>
      <c r="C45" s="4">
        <f t="shared" ref="C45:E47" si="41">ROUND((($AB$27*(X35/9))+($AC$27*(X43/9))+($AD$27*(X51/9))+($AB$28*AP35)+($AC$28*AP43)*1),0)</f>
        <v>27842</v>
      </c>
      <c r="D45" s="4">
        <f t="shared" si="41"/>
        <v>27842</v>
      </c>
      <c r="E45" s="4">
        <f t="shared" si="41"/>
        <v>27842</v>
      </c>
      <c r="F45" s="4">
        <f t="shared" si="40"/>
        <v>27842</v>
      </c>
      <c r="G45" s="4">
        <f t="shared" si="40"/>
        <v>27904</v>
      </c>
      <c r="H45" s="4">
        <f t="shared" si="40"/>
        <v>28028</v>
      </c>
      <c r="I45" s="4">
        <f t="shared" si="40"/>
        <v>28151</v>
      </c>
      <c r="J45" s="4">
        <f t="shared" si="40"/>
        <v>28275</v>
      </c>
      <c r="K45" s="4">
        <f t="shared" si="40"/>
        <v>28399</v>
      </c>
      <c r="L45" s="4">
        <f t="shared" si="40"/>
        <v>28523</v>
      </c>
      <c r="M45" s="4">
        <f t="shared" si="40"/>
        <v>28647</v>
      </c>
      <c r="N45" s="4">
        <f t="shared" si="40"/>
        <v>28770</v>
      </c>
      <c r="O45" s="4">
        <f t="shared" si="40"/>
        <v>28894</v>
      </c>
      <c r="P45" s="4">
        <f t="shared" si="40"/>
        <v>28956</v>
      </c>
      <c r="Q45" s="4">
        <f t="shared" si="40"/>
        <v>28956</v>
      </c>
      <c r="R45" s="4">
        <f t="shared" si="40"/>
        <v>28956</v>
      </c>
      <c r="V45" s="4" t="s">
        <v>73</v>
      </c>
      <c r="W45" s="4" t="s">
        <v>74</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t="s">
        <v>94</v>
      </c>
      <c r="AO45" s="4" t="s">
        <v>74</v>
      </c>
      <c r="AP45" s="4">
        <v>0</v>
      </c>
      <c r="AQ45" s="4">
        <v>0</v>
      </c>
      <c r="AR45" s="4">
        <v>0</v>
      </c>
      <c r="AS45" s="4">
        <v>1</v>
      </c>
      <c r="AT45" s="4">
        <v>1</v>
      </c>
      <c r="AU45" s="4">
        <v>1</v>
      </c>
      <c r="AV45" s="4">
        <v>1</v>
      </c>
      <c r="AW45" s="4">
        <v>1</v>
      </c>
      <c r="AX45" s="4">
        <v>1</v>
      </c>
      <c r="AY45" s="4">
        <v>1</v>
      </c>
      <c r="AZ45" s="4">
        <v>1</v>
      </c>
      <c r="BA45" s="4">
        <v>1</v>
      </c>
      <c r="BB45" s="4">
        <v>1</v>
      </c>
      <c r="BC45" s="4">
        <v>1</v>
      </c>
      <c r="BD45" s="4">
        <v>1</v>
      </c>
      <c r="BE45" s="4">
        <v>1</v>
      </c>
    </row>
    <row r="46" spans="1:57">
      <c r="A46" s="10" t="s">
        <v>88</v>
      </c>
      <c r="B46" s="4">
        <v>9</v>
      </c>
      <c r="C46" s="4">
        <f t="shared" si="41"/>
        <v>27842</v>
      </c>
      <c r="D46" s="4">
        <f t="shared" si="41"/>
        <v>27842</v>
      </c>
      <c r="E46" s="4">
        <f t="shared" si="41"/>
        <v>27842</v>
      </c>
      <c r="F46" s="4">
        <f t="shared" si="40"/>
        <v>27842</v>
      </c>
      <c r="G46" s="4">
        <f t="shared" si="40"/>
        <v>27904</v>
      </c>
      <c r="H46" s="4">
        <f t="shared" si="40"/>
        <v>28028</v>
      </c>
      <c r="I46" s="4">
        <f t="shared" si="40"/>
        <v>28151</v>
      </c>
      <c r="J46" s="4">
        <f t="shared" si="40"/>
        <v>28275</v>
      </c>
      <c r="K46" s="4">
        <f t="shared" si="40"/>
        <v>28399</v>
      </c>
      <c r="L46" s="4">
        <f t="shared" si="40"/>
        <v>28523</v>
      </c>
      <c r="M46" s="4">
        <f t="shared" si="40"/>
        <v>28647</v>
      </c>
      <c r="N46" s="4">
        <f t="shared" si="40"/>
        <v>28770</v>
      </c>
      <c r="O46" s="4">
        <f t="shared" si="40"/>
        <v>28894</v>
      </c>
      <c r="P46" s="4">
        <f t="shared" si="40"/>
        <v>28956</v>
      </c>
      <c r="Q46" s="4">
        <f t="shared" si="40"/>
        <v>28956</v>
      </c>
      <c r="R46" s="4">
        <f t="shared" si="40"/>
        <v>28956</v>
      </c>
      <c r="W46" s="14" t="s">
        <v>95</v>
      </c>
      <c r="X46" s="14"/>
    </row>
    <row r="47" spans="1:57">
      <c r="A47" s="10" t="s">
        <v>89</v>
      </c>
      <c r="B47" s="31" t="s">
        <v>90</v>
      </c>
      <c r="C47" s="4">
        <f t="shared" si="41"/>
        <v>1800</v>
      </c>
      <c r="D47" s="4">
        <f t="shared" si="41"/>
        <v>1800</v>
      </c>
      <c r="E47" s="4">
        <f t="shared" si="41"/>
        <v>1800</v>
      </c>
      <c r="F47" s="4">
        <f t="shared" si="40"/>
        <v>1872</v>
      </c>
      <c r="G47" s="4">
        <f t="shared" si="40"/>
        <v>1872</v>
      </c>
      <c r="H47" s="4">
        <f t="shared" si="40"/>
        <v>1872</v>
      </c>
      <c r="I47" s="4">
        <f t="shared" si="40"/>
        <v>1872</v>
      </c>
      <c r="J47" s="4">
        <f t="shared" si="40"/>
        <v>1872</v>
      </c>
      <c r="K47" s="4">
        <f t="shared" si="40"/>
        <v>1872</v>
      </c>
      <c r="L47" s="4">
        <f t="shared" si="40"/>
        <v>1872</v>
      </c>
      <c r="M47" s="4">
        <f t="shared" si="40"/>
        <v>1872</v>
      </c>
      <c r="N47" s="4">
        <f t="shared" si="40"/>
        <v>1872</v>
      </c>
      <c r="O47" s="4">
        <f t="shared" si="40"/>
        <v>1872</v>
      </c>
      <c r="P47" s="4">
        <f t="shared" si="40"/>
        <v>1872</v>
      </c>
      <c r="Q47" s="4">
        <f t="shared" si="40"/>
        <v>1872</v>
      </c>
      <c r="R47" s="4">
        <f t="shared" si="40"/>
        <v>1872</v>
      </c>
      <c r="W47" s="14"/>
      <c r="X47" s="14"/>
    </row>
    <row r="48" spans="1:57">
      <c r="V48" s="115"/>
      <c r="W48" s="115"/>
      <c r="X48" s="110">
        <f t="shared" ref="X48:AM48" si="42">+C52</f>
        <v>44012</v>
      </c>
      <c r="Y48" s="110">
        <f t="shared" si="42"/>
        <v>44027</v>
      </c>
      <c r="Z48" s="110">
        <f t="shared" si="42"/>
        <v>44043</v>
      </c>
      <c r="AA48" s="110">
        <f t="shared" si="42"/>
        <v>44058</v>
      </c>
      <c r="AB48" s="110">
        <f t="shared" si="42"/>
        <v>44074</v>
      </c>
      <c r="AC48" s="110">
        <f t="shared" si="42"/>
        <v>44104</v>
      </c>
      <c r="AD48" s="110">
        <f t="shared" si="42"/>
        <v>44135</v>
      </c>
      <c r="AE48" s="110">
        <f t="shared" si="42"/>
        <v>44165</v>
      </c>
      <c r="AF48" s="110">
        <f t="shared" si="42"/>
        <v>44196</v>
      </c>
      <c r="AG48" s="110">
        <f t="shared" si="42"/>
        <v>44227</v>
      </c>
      <c r="AH48" s="110">
        <f t="shared" si="42"/>
        <v>44255</v>
      </c>
      <c r="AI48" s="110">
        <f t="shared" si="42"/>
        <v>44286</v>
      </c>
      <c r="AJ48" s="110">
        <f t="shared" si="42"/>
        <v>44316</v>
      </c>
      <c r="AK48" s="110">
        <f t="shared" si="42"/>
        <v>44331</v>
      </c>
      <c r="AL48" s="110">
        <f t="shared" si="42"/>
        <v>44347</v>
      </c>
      <c r="AM48" s="110">
        <f t="shared" si="42"/>
        <v>44362</v>
      </c>
    </row>
    <row r="49" spans="1:39" ht="18.75" thickBot="1">
      <c r="A49" s="6" t="s">
        <v>96</v>
      </c>
      <c r="B49" s="7"/>
      <c r="C49" s="7"/>
      <c r="D49" s="7"/>
      <c r="E49" s="7"/>
      <c r="F49" s="7"/>
      <c r="G49" s="7"/>
      <c r="H49" s="7"/>
      <c r="I49" s="7"/>
      <c r="J49" s="7"/>
      <c r="K49" s="7"/>
      <c r="L49" s="7"/>
      <c r="M49" s="7"/>
      <c r="N49" s="7"/>
      <c r="O49" s="7"/>
      <c r="P49" s="7"/>
      <c r="Q49" s="7"/>
      <c r="R49" s="7"/>
      <c r="V49" s="4" t="s">
        <v>60</v>
      </c>
      <c r="W49" s="4" t="s">
        <v>61</v>
      </c>
      <c r="X49" s="4">
        <f t="shared" ref="X49:AM52" si="43">9-(X41+X33)</f>
        <v>0</v>
      </c>
      <c r="Y49" s="4">
        <f>9-(Y41+Y33)</f>
        <v>0</v>
      </c>
      <c r="Z49" s="4">
        <f t="shared" si="43"/>
        <v>0</v>
      </c>
      <c r="AA49" s="4">
        <f t="shared" si="43"/>
        <v>0</v>
      </c>
      <c r="AB49" s="4">
        <f t="shared" si="43"/>
        <v>0</v>
      </c>
      <c r="AC49" s="4">
        <f t="shared" si="43"/>
        <v>0</v>
      </c>
      <c r="AD49" s="4">
        <f t="shared" si="43"/>
        <v>0</v>
      </c>
      <c r="AE49" s="4">
        <f t="shared" si="43"/>
        <v>0</v>
      </c>
      <c r="AF49" s="4">
        <f t="shared" si="43"/>
        <v>0</v>
      </c>
      <c r="AG49" s="4">
        <f t="shared" si="43"/>
        <v>0</v>
      </c>
      <c r="AH49" s="4">
        <f t="shared" si="43"/>
        <v>0</v>
      </c>
      <c r="AI49" s="4">
        <f t="shared" si="43"/>
        <v>0</v>
      </c>
      <c r="AJ49" s="4">
        <f t="shared" si="43"/>
        <v>0</v>
      </c>
      <c r="AK49" s="4">
        <f t="shared" si="43"/>
        <v>0</v>
      </c>
      <c r="AL49" s="4">
        <f t="shared" si="43"/>
        <v>0</v>
      </c>
      <c r="AM49" s="4">
        <f t="shared" si="43"/>
        <v>0</v>
      </c>
    </row>
    <row r="50" spans="1:39" ht="18">
      <c r="A50" s="21" t="s">
        <v>84</v>
      </c>
      <c r="B50" s="22">
        <v>0.04</v>
      </c>
      <c r="C50" s="4" t="s">
        <v>85</v>
      </c>
      <c r="V50" s="4" t="s">
        <v>65</v>
      </c>
      <c r="W50" s="4" t="s">
        <v>66</v>
      </c>
      <c r="X50" s="4">
        <f t="shared" si="43"/>
        <v>0</v>
      </c>
      <c r="Y50" s="4">
        <f t="shared" si="43"/>
        <v>0</v>
      </c>
      <c r="Z50" s="4">
        <f t="shared" si="43"/>
        <v>0</v>
      </c>
      <c r="AA50" s="4">
        <f t="shared" si="43"/>
        <v>0</v>
      </c>
      <c r="AB50" s="4">
        <f t="shared" si="43"/>
        <v>0</v>
      </c>
      <c r="AC50" s="4">
        <f t="shared" si="43"/>
        <v>0</v>
      </c>
      <c r="AD50" s="4">
        <f t="shared" si="43"/>
        <v>0</v>
      </c>
      <c r="AE50" s="4">
        <f t="shared" si="43"/>
        <v>0</v>
      </c>
      <c r="AF50" s="4">
        <f t="shared" si="43"/>
        <v>0</v>
      </c>
      <c r="AG50" s="4">
        <f t="shared" si="43"/>
        <v>0</v>
      </c>
      <c r="AH50" s="4">
        <f t="shared" si="43"/>
        <v>0</v>
      </c>
      <c r="AI50" s="4">
        <f t="shared" si="43"/>
        <v>0</v>
      </c>
      <c r="AJ50" s="4">
        <f t="shared" si="43"/>
        <v>0</v>
      </c>
      <c r="AK50" s="4">
        <f t="shared" si="43"/>
        <v>0</v>
      </c>
      <c r="AL50" s="4">
        <f t="shared" si="43"/>
        <v>0</v>
      </c>
      <c r="AM50" s="4">
        <f t="shared" si="43"/>
        <v>0</v>
      </c>
    </row>
    <row r="51" spans="1:39">
      <c r="B51" s="13" t="s">
        <v>54</v>
      </c>
      <c r="V51" s="4" t="s">
        <v>69</v>
      </c>
      <c r="W51" s="4" t="s">
        <v>66</v>
      </c>
      <c r="X51" s="4">
        <f t="shared" si="43"/>
        <v>0</v>
      </c>
      <c r="Y51" s="4">
        <f t="shared" si="43"/>
        <v>0</v>
      </c>
      <c r="Z51" s="4">
        <f t="shared" si="43"/>
        <v>0</v>
      </c>
      <c r="AA51" s="4">
        <f t="shared" si="43"/>
        <v>0</v>
      </c>
      <c r="AB51" s="4">
        <f t="shared" si="43"/>
        <v>0</v>
      </c>
      <c r="AC51" s="4">
        <f t="shared" si="43"/>
        <v>0</v>
      </c>
      <c r="AD51" s="4">
        <f t="shared" si="43"/>
        <v>0</v>
      </c>
      <c r="AE51" s="4">
        <f t="shared" si="43"/>
        <v>0</v>
      </c>
      <c r="AF51" s="4">
        <f t="shared" si="43"/>
        <v>0</v>
      </c>
      <c r="AG51" s="4">
        <f t="shared" si="43"/>
        <v>0</v>
      </c>
      <c r="AH51" s="4">
        <f t="shared" si="43"/>
        <v>0</v>
      </c>
      <c r="AI51" s="4">
        <f t="shared" si="43"/>
        <v>0</v>
      </c>
      <c r="AJ51" s="4">
        <f t="shared" si="43"/>
        <v>0</v>
      </c>
      <c r="AK51" s="4">
        <f t="shared" si="43"/>
        <v>0</v>
      </c>
      <c r="AL51" s="4">
        <f t="shared" si="43"/>
        <v>0</v>
      </c>
      <c r="AM51" s="4">
        <f t="shared" si="43"/>
        <v>0</v>
      </c>
    </row>
    <row r="52" spans="1:39">
      <c r="A52" s="16"/>
      <c r="B52" s="17" t="s">
        <v>58</v>
      </c>
      <c r="C52" s="18">
        <f t="shared" ref="C52:R52" si="44">+C41</f>
        <v>44012</v>
      </c>
      <c r="D52" s="18">
        <f t="shared" si="44"/>
        <v>44027</v>
      </c>
      <c r="E52" s="18">
        <f t="shared" si="44"/>
        <v>44043</v>
      </c>
      <c r="F52" s="18">
        <f t="shared" si="44"/>
        <v>44058</v>
      </c>
      <c r="G52" s="18">
        <f t="shared" si="44"/>
        <v>44074</v>
      </c>
      <c r="H52" s="18">
        <f t="shared" si="44"/>
        <v>44104</v>
      </c>
      <c r="I52" s="18">
        <f t="shared" si="44"/>
        <v>44135</v>
      </c>
      <c r="J52" s="18">
        <f t="shared" si="44"/>
        <v>44165</v>
      </c>
      <c r="K52" s="18">
        <f t="shared" si="44"/>
        <v>44196</v>
      </c>
      <c r="L52" s="18">
        <f t="shared" si="44"/>
        <v>44227</v>
      </c>
      <c r="M52" s="18">
        <f t="shared" si="44"/>
        <v>44255</v>
      </c>
      <c r="N52" s="18">
        <f t="shared" si="44"/>
        <v>44286</v>
      </c>
      <c r="O52" s="18">
        <f t="shared" si="44"/>
        <v>44316</v>
      </c>
      <c r="P52" s="18">
        <f t="shared" si="44"/>
        <v>44331</v>
      </c>
      <c r="Q52" s="18">
        <f t="shared" si="44"/>
        <v>44347</v>
      </c>
      <c r="R52" s="18">
        <f t="shared" si="44"/>
        <v>44362</v>
      </c>
      <c r="V52" s="4" t="s">
        <v>71</v>
      </c>
      <c r="W52" s="4" t="s">
        <v>66</v>
      </c>
      <c r="X52" s="4">
        <f t="shared" si="43"/>
        <v>0</v>
      </c>
      <c r="Y52" s="4">
        <f t="shared" si="43"/>
        <v>0</v>
      </c>
      <c r="Z52" s="4">
        <f t="shared" si="43"/>
        <v>0</v>
      </c>
      <c r="AA52" s="4">
        <f t="shared" si="43"/>
        <v>0</v>
      </c>
      <c r="AB52" s="4">
        <f t="shared" si="43"/>
        <v>0</v>
      </c>
      <c r="AC52" s="4">
        <f t="shared" si="43"/>
        <v>0</v>
      </c>
      <c r="AD52" s="4">
        <f t="shared" si="43"/>
        <v>0</v>
      </c>
      <c r="AE52" s="4">
        <f t="shared" si="43"/>
        <v>0</v>
      </c>
      <c r="AF52" s="4">
        <f t="shared" si="43"/>
        <v>0</v>
      </c>
      <c r="AG52" s="4">
        <f t="shared" si="43"/>
        <v>0</v>
      </c>
      <c r="AH52" s="4">
        <f t="shared" si="43"/>
        <v>0</v>
      </c>
      <c r="AI52" s="4">
        <f t="shared" si="43"/>
        <v>0</v>
      </c>
      <c r="AJ52" s="4">
        <f t="shared" si="43"/>
        <v>0</v>
      </c>
      <c r="AK52" s="4">
        <f t="shared" si="43"/>
        <v>0</v>
      </c>
      <c r="AL52" s="4">
        <f t="shared" si="43"/>
        <v>0</v>
      </c>
      <c r="AM52" s="4">
        <f t="shared" si="43"/>
        <v>0</v>
      </c>
    </row>
    <row r="53" spans="1:39">
      <c r="V53" s="4" t="s">
        <v>73</v>
      </c>
      <c r="W53" s="4" t="s">
        <v>74</v>
      </c>
      <c r="X53" s="4">
        <v>0</v>
      </c>
      <c r="Y53" s="4">
        <v>0</v>
      </c>
      <c r="Z53" s="4">
        <v>0</v>
      </c>
      <c r="AA53" s="4">
        <v>0</v>
      </c>
      <c r="AB53" s="4">
        <v>0</v>
      </c>
      <c r="AC53" s="4">
        <v>0</v>
      </c>
      <c r="AD53" s="4">
        <v>0</v>
      </c>
      <c r="AE53" s="4">
        <v>0</v>
      </c>
      <c r="AF53" s="4">
        <v>0</v>
      </c>
      <c r="AG53" s="4">
        <v>0</v>
      </c>
      <c r="AH53" s="4">
        <v>0</v>
      </c>
      <c r="AI53" s="4">
        <v>0</v>
      </c>
      <c r="AJ53" s="4">
        <v>0</v>
      </c>
      <c r="AK53" s="4">
        <v>0</v>
      </c>
      <c r="AL53" s="4">
        <v>0</v>
      </c>
      <c r="AM53" s="4">
        <v>0</v>
      </c>
    </row>
    <row r="54" spans="1:39">
      <c r="A54" s="32" t="s">
        <v>97</v>
      </c>
      <c r="B54" s="33"/>
      <c r="C54" s="4">
        <f>ROUND((($AF$27*(X36/9))+($AG$27*(X44/9))+($AH$27*(X52/9))+($AF$28*AP36)+($AG$28*AP44)*1),0)</f>
        <v>2524</v>
      </c>
      <c r="D54" s="4">
        <f>ROUND((($AF$27*(Y36/9))+($AG$27*(Y44/9))+($AH$27*(Y52/9))+($AF$28*AQ36)+($AG$28*AQ44)*1),0)</f>
        <v>2524</v>
      </c>
      <c r="E54" s="4">
        <f>ROUND((($AF$27*(Z36/9))+($AG$27*(Z44/9))+($AH$27*(Z52/9))+($AF$28*AR36)+($AG$28*AR44)*1),0)</f>
        <v>2524</v>
      </c>
      <c r="F54" s="4">
        <f>ROUND((($AF$27*(AA36/9))+($AG$27*(AA44/9))+($AH$27*(AA52/9))+($AF$28*AS36)+($AG$28*AS44)*1),0)</f>
        <v>2524</v>
      </c>
      <c r="G54" s="4">
        <f>ROUND((($AF$27*(AB36/9))+($AG$27*(AB44/9))+($AH$27*(AB52/9))+($AF$28*AT36)+($AG$28*AT44)*1),0)</f>
        <v>2530</v>
      </c>
      <c r="H54" s="4">
        <f t="shared" ref="H54:R54" si="45">ROUND((($AF$27*(AC36/9))+($AG$27*(AC44/9))+($AH$27*(AC52/9))+($AF$28*AU36)+($AG$28*AU44)*1),0)</f>
        <v>2541</v>
      </c>
      <c r="I54" s="4">
        <f t="shared" si="45"/>
        <v>2552</v>
      </c>
      <c r="J54" s="4">
        <f t="shared" si="45"/>
        <v>2563</v>
      </c>
      <c r="K54" s="4">
        <f t="shared" si="45"/>
        <v>2575</v>
      </c>
      <c r="L54" s="4">
        <f t="shared" si="45"/>
        <v>2586</v>
      </c>
      <c r="M54" s="4">
        <f t="shared" si="45"/>
        <v>2597</v>
      </c>
      <c r="N54" s="4">
        <f t="shared" si="45"/>
        <v>2608</v>
      </c>
      <c r="O54" s="4">
        <f t="shared" si="45"/>
        <v>2619</v>
      </c>
      <c r="P54" s="4">
        <f t="shared" si="45"/>
        <v>2625</v>
      </c>
      <c r="Q54" s="4">
        <f t="shared" si="45"/>
        <v>2625</v>
      </c>
      <c r="R54" s="4">
        <f t="shared" si="45"/>
        <v>2625</v>
      </c>
    </row>
    <row r="55" spans="1:39">
      <c r="Q55" s="34"/>
      <c r="R55" s="34"/>
    </row>
  </sheetData>
  <sheetProtection algorithmName="SHA-512" hashValue="5/sp4cftE3da34A5bgFOpsIpb1xN+vb7kwK+k8tH4vJ6fmi6jRK0l/W5nTMSYvL0JcWhhsxIbZSqkgrGbYaPcw==" saltValue="Cyrq3bLnCmEhVS+bA+LihQ==" spinCount="100000" sheet="1" objects="1" scenarios="1"/>
  <pageMargins left="0.2" right="0.2" top="0.2" bottom="0.2" header="0" footer="0"/>
  <pageSetup paperSize="151" scale="1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9FF99"/>
    <pageSetUpPr fitToPage="1"/>
  </sheetPr>
  <dimension ref="A1:BZ55"/>
  <sheetViews>
    <sheetView zoomScaleNormal="100" workbookViewId="0">
      <selection activeCell="R1" sqref="R1:CA1048576"/>
    </sheetView>
  </sheetViews>
  <sheetFormatPr defaultColWidth="11.42578125" defaultRowHeight="13.5"/>
  <cols>
    <col min="1" max="1" width="12.5703125" style="10" customWidth="1"/>
    <col min="2" max="2" width="7.85546875" style="4" customWidth="1"/>
    <col min="3" max="17" width="9.7109375" style="4" customWidth="1"/>
    <col min="18" max="18" width="9.7109375" style="4" hidden="1" customWidth="1"/>
    <col min="19" max="19" width="11.140625" style="4" hidden="1" customWidth="1"/>
    <col min="20" max="78" width="11.42578125" style="4" hidden="1" customWidth="1"/>
    <col min="79" max="79" width="0" style="4" hidden="1" customWidth="1"/>
    <col min="80" max="16384" width="11.42578125" style="4"/>
  </cols>
  <sheetData>
    <row r="1" spans="1:76" ht="24.75" thickBot="1">
      <c r="A1" s="35" t="s">
        <v>98</v>
      </c>
      <c r="B1" s="2"/>
      <c r="C1" s="2"/>
      <c r="D1" s="2"/>
      <c r="E1" s="2"/>
      <c r="F1" s="2"/>
      <c r="G1" s="2"/>
      <c r="H1" s="2"/>
      <c r="I1" s="2"/>
      <c r="J1" s="2"/>
      <c r="K1" s="2"/>
      <c r="L1" s="2"/>
      <c r="M1" s="2"/>
      <c r="N1" s="2"/>
      <c r="O1" s="2"/>
      <c r="P1" s="2"/>
      <c r="Q1" s="2"/>
      <c r="R1" s="3"/>
      <c r="T1" s="4" t="s">
        <v>99</v>
      </c>
      <c r="U1" s="1112">
        <v>4118</v>
      </c>
      <c r="V1" s="4">
        <f>ROUND(U1*1.04,0)</f>
        <v>4283</v>
      </c>
      <c r="W1" s="4">
        <f>ROUND(V1*1.04,0)</f>
        <v>4454</v>
      </c>
    </row>
    <row r="2" spans="1:76" ht="20.25" thickTop="1" thickBot="1">
      <c r="A2" s="6" t="s">
        <v>51</v>
      </c>
      <c r="B2" s="7"/>
      <c r="C2" s="39" t="s">
        <v>314</v>
      </c>
      <c r="D2" s="7"/>
      <c r="E2" s="7"/>
      <c r="F2" s="7"/>
      <c r="G2" s="7"/>
      <c r="H2" s="7"/>
      <c r="I2" s="7"/>
      <c r="J2" s="7"/>
      <c r="K2" s="7"/>
      <c r="L2" s="7"/>
      <c r="M2" s="8"/>
      <c r="N2" s="9"/>
      <c r="O2" s="7"/>
      <c r="P2" s="7"/>
      <c r="Q2" s="123"/>
      <c r="R2" s="37"/>
      <c r="T2" s="4" t="s">
        <v>100</v>
      </c>
      <c r="U2" s="1112">
        <v>3913</v>
      </c>
      <c r="V2" s="4">
        <f>ROUND(U2*1.04,0)</f>
        <v>4070</v>
      </c>
      <c r="W2" s="4">
        <f>ROUND(V2*1.04,0)</f>
        <v>4233</v>
      </c>
    </row>
    <row r="4" spans="1:76" ht="15.75">
      <c r="A4" s="11" t="s">
        <v>265</v>
      </c>
      <c r="B4" s="12"/>
      <c r="C4" s="1"/>
      <c r="D4" s="1"/>
      <c r="E4" s="1"/>
      <c r="F4" s="1"/>
      <c r="G4" s="1"/>
      <c r="H4" s="1"/>
      <c r="I4" s="1"/>
      <c r="J4" s="1"/>
      <c r="K4" s="1"/>
      <c r="L4" s="1"/>
      <c r="M4" s="1"/>
      <c r="N4" s="1"/>
      <c r="O4" s="1"/>
      <c r="P4" s="1"/>
      <c r="Q4" s="1"/>
      <c r="R4" s="1"/>
    </row>
    <row r="5" spans="1:76" ht="15.75">
      <c r="A5" s="11"/>
      <c r="B5" s="13" t="s">
        <v>54</v>
      </c>
      <c r="C5" s="1"/>
      <c r="D5" s="1"/>
      <c r="E5" s="1"/>
      <c r="F5" s="1"/>
      <c r="G5" s="1"/>
      <c r="H5" s="1"/>
      <c r="I5" s="1"/>
      <c r="J5" s="1"/>
      <c r="K5" s="1"/>
      <c r="L5" s="1"/>
      <c r="M5" s="1"/>
      <c r="N5" s="1"/>
      <c r="O5" s="1"/>
      <c r="P5" s="1"/>
      <c r="Q5" s="1"/>
      <c r="R5" s="1"/>
      <c r="V5" s="117" t="s">
        <v>53</v>
      </c>
      <c r="W5" s="112">
        <v>0.5</v>
      </c>
      <c r="X5" s="15">
        <f t="shared" ref="X5:AM5" si="0">+(D7-C7)/C7</f>
        <v>1.6593815768172252E-3</v>
      </c>
      <c r="Y5" s="15">
        <f t="shared" si="0"/>
        <v>1.6970382641722898E-3</v>
      </c>
      <c r="Z5" s="15">
        <f t="shared" si="0"/>
        <v>1.6538259852365777E-3</v>
      </c>
      <c r="AA5" s="15">
        <f t="shared" si="0"/>
        <v>1.6510953608247423E-3</v>
      </c>
      <c r="AB5" s="15">
        <f t="shared" si="0"/>
        <v>3.3369517147107306E-3</v>
      </c>
      <c r="AC5" s="15">
        <f t="shared" si="0"/>
        <v>3.2857829780413529E-3</v>
      </c>
      <c r="AD5" s="15">
        <f t="shared" si="0"/>
        <v>3.3149612588864925E-3</v>
      </c>
      <c r="AE5" s="15">
        <f t="shared" si="0"/>
        <v>3.2642012658731737E-3</v>
      </c>
      <c r="AF5" s="15">
        <f t="shared" si="0"/>
        <v>3.2932587390390035E-3</v>
      </c>
      <c r="AG5" s="15">
        <f t="shared" si="0"/>
        <v>3.2429012101558175E-3</v>
      </c>
      <c r="AH5" s="15">
        <f t="shared" si="0"/>
        <v>3.2718385367391991E-3</v>
      </c>
      <c r="AI5" s="15">
        <f t="shared" si="0"/>
        <v>3.2218773329142272E-3</v>
      </c>
      <c r="AJ5" s="15">
        <f t="shared" si="0"/>
        <v>1.6057650883170799E-3</v>
      </c>
      <c r="AK5" s="15">
        <f t="shared" si="0"/>
        <v>1.6422929537811841E-3</v>
      </c>
      <c r="AL5" s="15">
        <f t="shared" si="0"/>
        <v>1.6005621486570893E-3</v>
      </c>
      <c r="AM5" s="15">
        <f t="shared" si="0"/>
        <v>-1</v>
      </c>
      <c r="AN5" s="117" t="s">
        <v>53</v>
      </c>
      <c r="AO5" s="112">
        <f>+W5</f>
        <v>0.5</v>
      </c>
      <c r="AP5" s="15">
        <f t="shared" ref="AP5:BE5" si="1">+AP17+AP7</f>
        <v>3</v>
      </c>
      <c r="AQ5" s="15">
        <f t="shared" si="1"/>
        <v>3</v>
      </c>
      <c r="AR5" s="15">
        <f t="shared" si="1"/>
        <v>3</v>
      </c>
      <c r="AS5" s="15">
        <f t="shared" si="1"/>
        <v>3</v>
      </c>
      <c r="AT5" s="15">
        <f t="shared" si="1"/>
        <v>3</v>
      </c>
      <c r="AU5" s="15">
        <f t="shared" si="1"/>
        <v>3</v>
      </c>
      <c r="AV5" s="15">
        <f t="shared" si="1"/>
        <v>3</v>
      </c>
      <c r="AW5" s="15">
        <f t="shared" si="1"/>
        <v>3</v>
      </c>
      <c r="AX5" s="15">
        <f t="shared" si="1"/>
        <v>3</v>
      </c>
      <c r="AY5" s="15">
        <f t="shared" si="1"/>
        <v>3</v>
      </c>
      <c r="AZ5" s="15">
        <f t="shared" si="1"/>
        <v>3</v>
      </c>
      <c r="BA5" s="15">
        <f t="shared" si="1"/>
        <v>3</v>
      </c>
      <c r="BB5" s="15">
        <f t="shared" si="1"/>
        <v>3</v>
      </c>
      <c r="BC5" s="15">
        <f t="shared" si="1"/>
        <v>3</v>
      </c>
      <c r="BD5" s="15">
        <f t="shared" si="1"/>
        <v>3</v>
      </c>
      <c r="BE5" s="15">
        <f t="shared" si="1"/>
        <v>3</v>
      </c>
      <c r="BG5" s="117" t="s">
        <v>53</v>
      </c>
      <c r="BH5" s="112">
        <v>0.5</v>
      </c>
      <c r="BI5" s="15"/>
      <c r="BJ5" s="15"/>
      <c r="BK5" s="15"/>
      <c r="BL5" s="15"/>
      <c r="BM5" s="15"/>
      <c r="BN5" s="15"/>
      <c r="BO5" s="15"/>
      <c r="BP5" s="15"/>
      <c r="BQ5" s="15"/>
      <c r="BR5" s="15"/>
      <c r="BS5" s="15"/>
      <c r="BT5" s="15"/>
      <c r="BU5" s="15"/>
      <c r="BV5" s="15"/>
      <c r="BW5" s="15"/>
      <c r="BX5" s="15"/>
    </row>
    <row r="6" spans="1:76" ht="14.25">
      <c r="A6" s="16"/>
      <c r="B6" s="17" t="s">
        <v>58</v>
      </c>
      <c r="C6" s="18">
        <f>'GRA 26-60 Matrices'!C12</f>
        <v>44012</v>
      </c>
      <c r="D6" s="18">
        <f>'GRA 26-60 Matrices'!D12</f>
        <v>44027</v>
      </c>
      <c r="E6" s="18">
        <f>'GRA 26-60 Matrices'!E12</f>
        <v>44043</v>
      </c>
      <c r="F6" s="18">
        <f>'GRA 26-60 Matrices'!F12</f>
        <v>44058</v>
      </c>
      <c r="G6" s="18">
        <f>'GRA 26-60 Matrices'!G12</f>
        <v>44074</v>
      </c>
      <c r="H6" s="18">
        <f>'GRA 26-60 Matrices'!H12</f>
        <v>44104</v>
      </c>
      <c r="I6" s="18">
        <f>'GRA 26-60 Matrices'!I12</f>
        <v>44135</v>
      </c>
      <c r="J6" s="18">
        <f>'GRA 26-60 Matrices'!J12</f>
        <v>44165</v>
      </c>
      <c r="K6" s="18">
        <f>'GRA 26-60 Matrices'!K12</f>
        <v>44196</v>
      </c>
      <c r="L6" s="18">
        <f>'GRA 26-60 Matrices'!L12</f>
        <v>44227</v>
      </c>
      <c r="M6" s="18">
        <f>'GRA 26-60 Matrices'!M12</f>
        <v>44255</v>
      </c>
      <c r="N6" s="18">
        <f>'GRA 26-60 Matrices'!N12</f>
        <v>44286</v>
      </c>
      <c r="O6" s="18">
        <f>'GRA 26-60 Matrices'!O12</f>
        <v>44316</v>
      </c>
      <c r="P6" s="18">
        <f>'GRA 26-60 Matrices'!P12</f>
        <v>44331</v>
      </c>
      <c r="Q6" s="18">
        <f>'GRA 26-60 Matrices'!Q12</f>
        <v>44347</v>
      </c>
      <c r="R6" s="18">
        <f>'GRA 26-60 Matrices'!R12</f>
        <v>44362</v>
      </c>
      <c r="V6" s="115" t="s">
        <v>55</v>
      </c>
      <c r="W6" s="115"/>
      <c r="X6" s="19">
        <f t="shared" ref="X6:AM6" si="2">+C6</f>
        <v>44012</v>
      </c>
      <c r="Y6" s="19">
        <f t="shared" si="2"/>
        <v>44027</v>
      </c>
      <c r="Z6" s="19">
        <f t="shared" si="2"/>
        <v>44043</v>
      </c>
      <c r="AA6" s="19">
        <f t="shared" si="2"/>
        <v>44058</v>
      </c>
      <c r="AB6" s="19">
        <f t="shared" si="2"/>
        <v>44074</v>
      </c>
      <c r="AC6" s="19">
        <f t="shared" si="2"/>
        <v>44104</v>
      </c>
      <c r="AD6" s="19">
        <f t="shared" si="2"/>
        <v>44135</v>
      </c>
      <c r="AE6" s="19">
        <f t="shared" si="2"/>
        <v>44165</v>
      </c>
      <c r="AF6" s="19">
        <f t="shared" si="2"/>
        <v>44196</v>
      </c>
      <c r="AG6" s="19">
        <f t="shared" si="2"/>
        <v>44227</v>
      </c>
      <c r="AH6" s="19">
        <f t="shared" si="2"/>
        <v>44255</v>
      </c>
      <c r="AI6" s="19">
        <f t="shared" si="2"/>
        <v>44286</v>
      </c>
      <c r="AJ6" s="19">
        <f t="shared" si="2"/>
        <v>44316</v>
      </c>
      <c r="AK6" s="19">
        <f t="shared" si="2"/>
        <v>44331</v>
      </c>
      <c r="AL6" s="19">
        <f t="shared" si="2"/>
        <v>44347</v>
      </c>
      <c r="AM6" s="19">
        <f t="shared" si="2"/>
        <v>44362</v>
      </c>
      <c r="AN6" s="115" t="s">
        <v>56</v>
      </c>
      <c r="AO6" s="116"/>
      <c r="AP6" s="19">
        <f t="shared" ref="AP6:BE6" si="3">+X6</f>
        <v>44012</v>
      </c>
      <c r="AQ6" s="19">
        <f t="shared" si="3"/>
        <v>44027</v>
      </c>
      <c r="AR6" s="19">
        <f t="shared" si="3"/>
        <v>44043</v>
      </c>
      <c r="AS6" s="19">
        <f t="shared" si="3"/>
        <v>44058</v>
      </c>
      <c r="AT6" s="19">
        <f t="shared" si="3"/>
        <v>44074</v>
      </c>
      <c r="AU6" s="19">
        <f t="shared" si="3"/>
        <v>44104</v>
      </c>
      <c r="AV6" s="19">
        <f t="shared" si="3"/>
        <v>44135</v>
      </c>
      <c r="AW6" s="19">
        <f t="shared" si="3"/>
        <v>44165</v>
      </c>
      <c r="AX6" s="19">
        <f t="shared" si="3"/>
        <v>44196</v>
      </c>
      <c r="AY6" s="19">
        <f t="shared" si="3"/>
        <v>44227</v>
      </c>
      <c r="AZ6" s="19">
        <f t="shared" si="3"/>
        <v>44255</v>
      </c>
      <c r="BA6" s="19">
        <f t="shared" si="3"/>
        <v>44286</v>
      </c>
      <c r="BB6" s="19">
        <f t="shared" si="3"/>
        <v>44316</v>
      </c>
      <c r="BC6" s="19">
        <f t="shared" si="3"/>
        <v>44331</v>
      </c>
      <c r="BD6" s="19">
        <f t="shared" si="3"/>
        <v>44347</v>
      </c>
      <c r="BE6" s="19">
        <f t="shared" si="3"/>
        <v>44362</v>
      </c>
      <c r="BG6" s="118" t="s">
        <v>57</v>
      </c>
      <c r="BH6" s="115"/>
      <c r="BI6" s="19">
        <v>35064</v>
      </c>
      <c r="BJ6" s="19">
        <v>35095</v>
      </c>
      <c r="BK6" s="19">
        <v>35124</v>
      </c>
      <c r="BL6" s="19">
        <v>35155</v>
      </c>
      <c r="BM6" s="19">
        <v>35185</v>
      </c>
      <c r="BN6" s="19">
        <v>35200</v>
      </c>
      <c r="BO6" s="19">
        <v>35216</v>
      </c>
      <c r="BP6" s="19">
        <v>35231</v>
      </c>
      <c r="BQ6" s="19">
        <v>35246</v>
      </c>
      <c r="BR6" s="19">
        <v>35261</v>
      </c>
      <c r="BS6" s="19">
        <v>35277</v>
      </c>
      <c r="BT6" s="19">
        <v>35292</v>
      </c>
      <c r="BU6" s="19">
        <v>35308</v>
      </c>
      <c r="BV6" s="19">
        <v>35338</v>
      </c>
      <c r="BW6" s="19">
        <v>35369</v>
      </c>
      <c r="BX6" s="19">
        <v>35399</v>
      </c>
    </row>
    <row r="7" spans="1:76">
      <c r="A7" s="10" t="s">
        <v>59</v>
      </c>
      <c r="B7" s="4">
        <v>12</v>
      </c>
      <c r="C7" s="4">
        <f t="shared" ref="C7:R7" si="4">ROUND((($U$1*X$7)+($V$1*X$17)+($U$1*AP$7)+($V$1*AP$17)+($W$1*(3-(AP$7+AP$17)))+($W$1*(9-(X$7+X$17))))*$AO$5,0)</f>
        <v>24708</v>
      </c>
      <c r="D7" s="4">
        <f t="shared" si="4"/>
        <v>24749</v>
      </c>
      <c r="E7" s="4">
        <f t="shared" si="4"/>
        <v>24791</v>
      </c>
      <c r="F7" s="4">
        <f t="shared" si="4"/>
        <v>24832</v>
      </c>
      <c r="G7" s="4">
        <f t="shared" si="4"/>
        <v>24873</v>
      </c>
      <c r="H7" s="4">
        <f t="shared" si="4"/>
        <v>24956</v>
      </c>
      <c r="I7" s="4">
        <f t="shared" si="4"/>
        <v>25038</v>
      </c>
      <c r="J7" s="4">
        <f t="shared" si="4"/>
        <v>25121</v>
      </c>
      <c r="K7" s="4">
        <f t="shared" si="4"/>
        <v>25203</v>
      </c>
      <c r="L7" s="4">
        <f t="shared" si="4"/>
        <v>25286</v>
      </c>
      <c r="M7" s="4">
        <f t="shared" si="4"/>
        <v>25368</v>
      </c>
      <c r="N7" s="4">
        <f t="shared" si="4"/>
        <v>25451</v>
      </c>
      <c r="O7" s="4">
        <f t="shared" si="4"/>
        <v>25533</v>
      </c>
      <c r="P7" s="4">
        <f t="shared" si="4"/>
        <v>25574</v>
      </c>
      <c r="Q7" s="4">
        <f t="shared" si="4"/>
        <v>25616</v>
      </c>
      <c r="R7" s="4">
        <f t="shared" si="4"/>
        <v>25657</v>
      </c>
      <c r="V7" s="4" t="s">
        <v>60</v>
      </c>
      <c r="W7" s="4" t="s">
        <v>61</v>
      </c>
      <c r="X7" s="4">
        <v>9</v>
      </c>
      <c r="Y7" s="4">
        <v>9</v>
      </c>
      <c r="Z7" s="4">
        <v>9</v>
      </c>
      <c r="AA7" s="4">
        <v>9</v>
      </c>
      <c r="AB7" s="4">
        <v>8.5</v>
      </c>
      <c r="AC7" s="4">
        <v>7.5</v>
      </c>
      <c r="AD7" s="4">
        <v>6.5</v>
      </c>
      <c r="AE7" s="4">
        <v>5.5</v>
      </c>
      <c r="AF7" s="4">
        <v>4.5</v>
      </c>
      <c r="AG7" s="4">
        <v>3.5</v>
      </c>
      <c r="AH7" s="4">
        <v>2.5</v>
      </c>
      <c r="AI7" s="4">
        <v>1.5</v>
      </c>
      <c r="AJ7" s="4">
        <v>0.5</v>
      </c>
      <c r="AK7" s="4">
        <v>0</v>
      </c>
      <c r="AL7" s="4">
        <v>0</v>
      </c>
      <c r="AM7" s="4">
        <v>0</v>
      </c>
      <c r="AN7" s="4" t="s">
        <v>60</v>
      </c>
      <c r="AO7" s="4" t="s">
        <v>62</v>
      </c>
      <c r="AP7" s="4">
        <v>3</v>
      </c>
      <c r="AQ7" s="4">
        <v>2.5</v>
      </c>
      <c r="AR7" s="4">
        <v>2</v>
      </c>
      <c r="AS7" s="4">
        <v>1.5</v>
      </c>
      <c r="AT7" s="4">
        <v>1.5</v>
      </c>
      <c r="AU7" s="4">
        <v>1.5</v>
      </c>
      <c r="AV7" s="4">
        <v>1.5</v>
      </c>
      <c r="AW7" s="4">
        <v>1.5</v>
      </c>
      <c r="AX7" s="4">
        <v>1.5</v>
      </c>
      <c r="AY7" s="4">
        <v>1.5</v>
      </c>
      <c r="AZ7" s="4">
        <v>1.5</v>
      </c>
      <c r="BA7" s="4">
        <v>1.5</v>
      </c>
      <c r="BB7" s="4">
        <v>1.5</v>
      </c>
      <c r="BC7" s="4">
        <v>1.5</v>
      </c>
      <c r="BD7" s="4">
        <v>1</v>
      </c>
      <c r="BE7" s="4">
        <v>0.5</v>
      </c>
      <c r="BG7" s="4" t="s">
        <v>60</v>
      </c>
      <c r="BH7" s="4" t="s">
        <v>63</v>
      </c>
      <c r="BI7" s="4">
        <f t="shared" ref="BI7:BX7" si="5">9-(X7+X17)</f>
        <v>0</v>
      </c>
      <c r="BJ7" s="4">
        <f t="shared" si="5"/>
        <v>0</v>
      </c>
      <c r="BK7" s="4">
        <f t="shared" si="5"/>
        <v>0</v>
      </c>
      <c r="BL7" s="4">
        <f t="shared" si="5"/>
        <v>0</v>
      </c>
      <c r="BM7" s="4">
        <f t="shared" si="5"/>
        <v>0</v>
      </c>
      <c r="BN7" s="4">
        <f t="shared" si="5"/>
        <v>0</v>
      </c>
      <c r="BO7" s="4">
        <f t="shared" si="5"/>
        <v>0</v>
      </c>
      <c r="BP7" s="4">
        <f t="shared" si="5"/>
        <v>0</v>
      </c>
      <c r="BQ7" s="4">
        <f t="shared" si="5"/>
        <v>0</v>
      </c>
      <c r="BR7" s="4">
        <f t="shared" si="5"/>
        <v>0</v>
      </c>
      <c r="BS7" s="4">
        <f t="shared" si="5"/>
        <v>0</v>
      </c>
      <c r="BT7" s="4">
        <f t="shared" si="5"/>
        <v>0</v>
      </c>
      <c r="BU7" s="4">
        <f t="shared" si="5"/>
        <v>0</v>
      </c>
      <c r="BV7" s="4">
        <f t="shared" si="5"/>
        <v>0</v>
      </c>
      <c r="BW7" s="4">
        <f t="shared" si="5"/>
        <v>0</v>
      </c>
      <c r="BX7" s="4">
        <f t="shared" si="5"/>
        <v>0</v>
      </c>
    </row>
    <row r="8" spans="1:76">
      <c r="A8" s="10" t="s">
        <v>64</v>
      </c>
      <c r="B8" s="4">
        <v>11</v>
      </c>
      <c r="C8" s="4">
        <f t="shared" ref="C8:R8" si="6">ROUND((($U$1*X$8)+($V$1*X$18)+($U$1*AP$8)+($V$1*AP$18)+($W$1*(2-(AP$8+AP$18)))+($W$1*(9-(X$8+X$18))))*$AO$5,0)</f>
        <v>22649</v>
      </c>
      <c r="D8" s="4">
        <f t="shared" si="6"/>
        <v>22649</v>
      </c>
      <c r="E8" s="4">
        <f t="shared" si="6"/>
        <v>22649</v>
      </c>
      <c r="F8" s="4">
        <f t="shared" si="6"/>
        <v>22690</v>
      </c>
      <c r="G8" s="4">
        <f t="shared" si="6"/>
        <v>22732</v>
      </c>
      <c r="H8" s="4">
        <f t="shared" si="6"/>
        <v>22814</v>
      </c>
      <c r="I8" s="4">
        <f t="shared" si="6"/>
        <v>22897</v>
      </c>
      <c r="J8" s="4">
        <f t="shared" si="6"/>
        <v>22979</v>
      </c>
      <c r="K8" s="4">
        <f t="shared" si="6"/>
        <v>23062</v>
      </c>
      <c r="L8" s="4">
        <f t="shared" si="6"/>
        <v>23144</v>
      </c>
      <c r="M8" s="4">
        <f t="shared" si="6"/>
        <v>23227</v>
      </c>
      <c r="N8" s="4">
        <f t="shared" si="6"/>
        <v>23309</v>
      </c>
      <c r="O8" s="4">
        <f t="shared" si="6"/>
        <v>23392</v>
      </c>
      <c r="P8" s="4">
        <f t="shared" si="6"/>
        <v>23433</v>
      </c>
      <c r="Q8" s="4">
        <f t="shared" si="6"/>
        <v>23474</v>
      </c>
      <c r="R8" s="4">
        <f t="shared" si="6"/>
        <v>23515</v>
      </c>
      <c r="V8" s="4" t="s">
        <v>65</v>
      </c>
      <c r="W8" s="4" t="s">
        <v>66</v>
      </c>
      <c r="X8" s="4">
        <v>9</v>
      </c>
      <c r="Y8" s="4">
        <v>9</v>
      </c>
      <c r="Z8" s="4">
        <v>9</v>
      </c>
      <c r="AA8" s="4">
        <v>9</v>
      </c>
      <c r="AB8" s="4">
        <v>8.5</v>
      </c>
      <c r="AC8" s="4">
        <v>7.5</v>
      </c>
      <c r="AD8" s="4">
        <v>6.5</v>
      </c>
      <c r="AE8" s="4">
        <v>5.5</v>
      </c>
      <c r="AF8" s="4">
        <v>4.5</v>
      </c>
      <c r="AG8" s="4">
        <v>3.5</v>
      </c>
      <c r="AH8" s="4">
        <v>2.5</v>
      </c>
      <c r="AI8" s="4">
        <v>1.5</v>
      </c>
      <c r="AJ8" s="4">
        <v>0.5</v>
      </c>
      <c r="AK8" s="4">
        <v>0</v>
      </c>
      <c r="AL8" s="4">
        <v>0</v>
      </c>
      <c r="AM8" s="4">
        <v>0</v>
      </c>
      <c r="AN8" s="4" t="s">
        <v>65</v>
      </c>
      <c r="AO8" s="4" t="s">
        <v>62</v>
      </c>
      <c r="AP8" s="4">
        <v>2</v>
      </c>
      <c r="AQ8" s="4">
        <v>2</v>
      </c>
      <c r="AR8" s="4">
        <v>2</v>
      </c>
      <c r="AS8" s="4">
        <v>1.5</v>
      </c>
      <c r="AT8" s="4">
        <v>1.5</v>
      </c>
      <c r="AU8" s="4">
        <v>1.5</v>
      </c>
      <c r="AV8" s="4">
        <v>1.5</v>
      </c>
      <c r="AW8" s="4">
        <v>1.5</v>
      </c>
      <c r="AX8" s="4">
        <v>1.5</v>
      </c>
      <c r="AY8" s="4">
        <v>1.5</v>
      </c>
      <c r="AZ8" s="4">
        <v>1.5</v>
      </c>
      <c r="BA8" s="4">
        <v>1.5</v>
      </c>
      <c r="BB8" s="4">
        <v>1.5</v>
      </c>
      <c r="BC8" s="4">
        <v>1.5</v>
      </c>
      <c r="BD8" s="4">
        <v>1</v>
      </c>
      <c r="BE8" s="4">
        <v>0.5</v>
      </c>
      <c r="BG8" s="4" t="s">
        <v>65</v>
      </c>
      <c r="BH8" s="4" t="s">
        <v>67</v>
      </c>
      <c r="BI8" s="4">
        <v>9</v>
      </c>
      <c r="BJ8" s="4">
        <v>8</v>
      </c>
      <c r="BK8" s="4">
        <v>7</v>
      </c>
      <c r="BL8" s="4">
        <v>6</v>
      </c>
      <c r="BM8" s="4">
        <v>5</v>
      </c>
      <c r="BN8" s="4">
        <v>4.5</v>
      </c>
      <c r="BO8" s="4">
        <v>4.5</v>
      </c>
      <c r="BP8" s="4">
        <v>4.5</v>
      </c>
      <c r="BQ8" s="4">
        <v>4.5</v>
      </c>
      <c r="BR8" s="4">
        <v>4.5</v>
      </c>
      <c r="BS8" s="4">
        <v>4.5</v>
      </c>
      <c r="BT8" s="4">
        <v>4.5</v>
      </c>
      <c r="BU8" s="4">
        <v>4</v>
      </c>
      <c r="BV8" s="4">
        <v>3</v>
      </c>
      <c r="BW8" s="4">
        <v>2</v>
      </c>
      <c r="BX8" s="4">
        <v>1</v>
      </c>
    </row>
    <row r="9" spans="1:76">
      <c r="A9" s="10" t="s">
        <v>68</v>
      </c>
      <c r="B9" s="4">
        <v>10</v>
      </c>
      <c r="C9" s="4">
        <f>ROUND((($U$1*X$9)+($V$1*X$19)+($U$1*AP$9)+($V$1*AP$19)+($W$1*(1-(AP$9+AP$19)))+($W$1*(9-(X$9+X$19))))*$AO$5,0)</f>
        <v>20590</v>
      </c>
      <c r="D9" s="4">
        <f t="shared" ref="D9:R9" si="7">ROUND((($U$1*Y9)+($V$1*Y19)+($U$1*AQ9)+($V$1*AQ19)+($W$1*(1-(AQ9+AQ19)))+($W$1*(9-(Y9+Y19))))*$AO$5,0)</f>
        <v>20590</v>
      </c>
      <c r="E9" s="4">
        <f t="shared" si="7"/>
        <v>20590</v>
      </c>
      <c r="F9" s="4">
        <f t="shared" si="7"/>
        <v>20590</v>
      </c>
      <c r="G9" s="4">
        <f t="shared" si="7"/>
        <v>20631</v>
      </c>
      <c r="H9" s="4">
        <f t="shared" si="7"/>
        <v>20714</v>
      </c>
      <c r="I9" s="4">
        <f t="shared" si="7"/>
        <v>20796</v>
      </c>
      <c r="J9" s="4">
        <f t="shared" si="7"/>
        <v>20879</v>
      </c>
      <c r="K9" s="4">
        <f t="shared" si="7"/>
        <v>20961</v>
      </c>
      <c r="L9" s="4">
        <f t="shared" si="7"/>
        <v>21044</v>
      </c>
      <c r="M9" s="4">
        <f t="shared" si="7"/>
        <v>21126</v>
      </c>
      <c r="N9" s="4">
        <f t="shared" si="7"/>
        <v>21209</v>
      </c>
      <c r="O9" s="4">
        <f t="shared" si="7"/>
        <v>21291</v>
      </c>
      <c r="P9" s="4">
        <f t="shared" si="7"/>
        <v>21333</v>
      </c>
      <c r="Q9" s="4">
        <f t="shared" si="7"/>
        <v>21333</v>
      </c>
      <c r="R9" s="4">
        <f t="shared" si="7"/>
        <v>21374</v>
      </c>
      <c r="V9" s="4" t="s">
        <v>69</v>
      </c>
      <c r="W9" s="4" t="s">
        <v>66</v>
      </c>
      <c r="X9" s="4">
        <v>9</v>
      </c>
      <c r="Y9" s="4">
        <v>9</v>
      </c>
      <c r="Z9" s="4">
        <v>9</v>
      </c>
      <c r="AA9" s="4">
        <v>9</v>
      </c>
      <c r="AB9" s="4">
        <v>8.5</v>
      </c>
      <c r="AC9" s="4">
        <v>7.5</v>
      </c>
      <c r="AD9" s="4">
        <v>6.5</v>
      </c>
      <c r="AE9" s="4">
        <v>5.5</v>
      </c>
      <c r="AF9" s="4">
        <v>4.5</v>
      </c>
      <c r="AG9" s="4">
        <v>3.5</v>
      </c>
      <c r="AH9" s="4">
        <v>2.5</v>
      </c>
      <c r="AI9" s="4">
        <v>1.5</v>
      </c>
      <c r="AJ9" s="4">
        <v>0.5</v>
      </c>
      <c r="AK9" s="4">
        <v>0</v>
      </c>
      <c r="AL9" s="4">
        <v>0</v>
      </c>
      <c r="AM9" s="4">
        <v>0</v>
      </c>
      <c r="AN9" s="4" t="s">
        <v>69</v>
      </c>
      <c r="AO9" s="4" t="s">
        <v>62</v>
      </c>
      <c r="AP9" s="4">
        <v>1</v>
      </c>
      <c r="AQ9" s="4">
        <v>1</v>
      </c>
      <c r="AR9" s="4">
        <v>1</v>
      </c>
      <c r="AS9" s="4">
        <v>1</v>
      </c>
      <c r="AT9" s="4">
        <v>1</v>
      </c>
      <c r="AU9" s="4">
        <v>1</v>
      </c>
      <c r="AV9" s="4">
        <v>1</v>
      </c>
      <c r="AW9" s="4">
        <v>1</v>
      </c>
      <c r="AX9" s="4">
        <v>1</v>
      </c>
      <c r="AY9" s="4">
        <v>1</v>
      </c>
      <c r="AZ9" s="4">
        <v>1</v>
      </c>
      <c r="BA9" s="4">
        <v>1</v>
      </c>
      <c r="BB9" s="4">
        <v>1</v>
      </c>
      <c r="BC9" s="4">
        <v>1</v>
      </c>
      <c r="BD9" s="4">
        <v>1</v>
      </c>
      <c r="BE9" s="4">
        <v>0.5</v>
      </c>
      <c r="BG9" s="4" t="s">
        <v>69</v>
      </c>
      <c r="BH9" s="4" t="s">
        <v>67</v>
      </c>
      <c r="BI9" s="4">
        <v>9</v>
      </c>
      <c r="BJ9" s="4">
        <v>8</v>
      </c>
      <c r="BK9" s="4">
        <v>7</v>
      </c>
      <c r="BL9" s="4">
        <v>6</v>
      </c>
      <c r="BM9" s="4">
        <v>5</v>
      </c>
      <c r="BN9" s="4">
        <v>4.5</v>
      </c>
      <c r="BO9" s="4">
        <v>4.5</v>
      </c>
      <c r="BP9" s="4">
        <v>4.5</v>
      </c>
      <c r="BQ9" s="4">
        <v>4.5</v>
      </c>
      <c r="BR9" s="4">
        <v>4.5</v>
      </c>
      <c r="BS9" s="4">
        <v>4.5</v>
      </c>
      <c r="BT9" s="4">
        <v>4.5</v>
      </c>
      <c r="BU9" s="4">
        <v>4</v>
      </c>
      <c r="BV9" s="4">
        <v>3</v>
      </c>
      <c r="BW9" s="4">
        <v>2</v>
      </c>
      <c r="BX9" s="4">
        <v>1</v>
      </c>
    </row>
    <row r="10" spans="1:76">
      <c r="A10" s="10" t="s">
        <v>70</v>
      </c>
      <c r="B10" s="4">
        <v>9</v>
      </c>
      <c r="C10" s="4">
        <f>ROUND((($U$1*X$10)+($V$1*X$20)+($U$1*AP$10)+($V$1*AP$20)+($W$1*(0-(AP$10+AP$20)))+($W$1*(9-(X$10+X$20))))*$AO$5,0)</f>
        <v>18531</v>
      </c>
      <c r="D10" s="4">
        <f t="shared" ref="D10:R10" si="8">ROUND((($U$1*Y10)+($V$1*Y20)+($U$1*AQ10)+($V$1*AQ20)+($W$1*(0-(AQ10+AQ20)))+($W$1*(9-(Y10+Y20))))*$AO$5,0)</f>
        <v>18531</v>
      </c>
      <c r="E10" s="4">
        <f t="shared" si="8"/>
        <v>18531</v>
      </c>
      <c r="F10" s="4">
        <f t="shared" si="8"/>
        <v>18531</v>
      </c>
      <c r="G10" s="4">
        <f t="shared" si="8"/>
        <v>18572</v>
      </c>
      <c r="H10" s="4">
        <f t="shared" si="8"/>
        <v>18655</v>
      </c>
      <c r="I10" s="4">
        <f t="shared" si="8"/>
        <v>18737</v>
      </c>
      <c r="J10" s="4">
        <f t="shared" si="8"/>
        <v>18820</v>
      </c>
      <c r="K10" s="4">
        <f t="shared" si="8"/>
        <v>18902</v>
      </c>
      <c r="L10" s="4">
        <f t="shared" si="8"/>
        <v>18985</v>
      </c>
      <c r="M10" s="4">
        <f t="shared" si="8"/>
        <v>19067</v>
      </c>
      <c r="N10" s="4">
        <f t="shared" si="8"/>
        <v>19150</v>
      </c>
      <c r="O10" s="4">
        <f t="shared" si="8"/>
        <v>19232</v>
      </c>
      <c r="P10" s="4">
        <f t="shared" si="8"/>
        <v>19274</v>
      </c>
      <c r="Q10" s="4">
        <f t="shared" si="8"/>
        <v>19274</v>
      </c>
      <c r="R10" s="4">
        <f t="shared" si="8"/>
        <v>19274</v>
      </c>
      <c r="V10" s="4" t="s">
        <v>71</v>
      </c>
      <c r="W10" s="4" t="s">
        <v>66</v>
      </c>
      <c r="X10" s="4">
        <v>9</v>
      </c>
      <c r="Y10" s="4">
        <v>9</v>
      </c>
      <c r="Z10" s="4">
        <v>9</v>
      </c>
      <c r="AA10" s="4">
        <v>9</v>
      </c>
      <c r="AB10" s="4">
        <v>8.5</v>
      </c>
      <c r="AC10" s="4">
        <v>7.5</v>
      </c>
      <c r="AD10" s="4">
        <v>6.5</v>
      </c>
      <c r="AE10" s="4">
        <v>5.5</v>
      </c>
      <c r="AF10" s="4">
        <v>4.5</v>
      </c>
      <c r="AG10" s="4">
        <v>3.5</v>
      </c>
      <c r="AH10" s="4">
        <v>2.5</v>
      </c>
      <c r="AI10" s="4">
        <v>1.5</v>
      </c>
      <c r="AJ10" s="4">
        <v>0.5</v>
      </c>
      <c r="AK10" s="4">
        <v>0</v>
      </c>
      <c r="AL10" s="4">
        <v>0</v>
      </c>
      <c r="AM10" s="4">
        <v>0</v>
      </c>
      <c r="AN10" s="4" t="s">
        <v>71</v>
      </c>
      <c r="AO10" s="4" t="s">
        <v>62</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G10" s="4" t="s">
        <v>71</v>
      </c>
      <c r="BH10" s="4" t="s">
        <v>67</v>
      </c>
      <c r="BI10" s="4">
        <v>9</v>
      </c>
      <c r="BJ10" s="4">
        <v>8</v>
      </c>
      <c r="BK10" s="4">
        <v>7</v>
      </c>
      <c r="BL10" s="4">
        <v>6</v>
      </c>
      <c r="BM10" s="4">
        <v>5</v>
      </c>
      <c r="BN10" s="4">
        <v>4.5</v>
      </c>
      <c r="BO10" s="4">
        <v>4.5</v>
      </c>
      <c r="BP10" s="4">
        <v>4.5</v>
      </c>
      <c r="BQ10" s="4">
        <v>4.5</v>
      </c>
      <c r="BR10" s="4">
        <v>4.5</v>
      </c>
      <c r="BS10" s="4">
        <v>4.5</v>
      </c>
      <c r="BT10" s="4">
        <v>4.5</v>
      </c>
      <c r="BU10" s="4">
        <v>4</v>
      </c>
      <c r="BV10" s="4">
        <v>3</v>
      </c>
      <c r="BW10" s="4">
        <v>2</v>
      </c>
      <c r="BX10" s="4">
        <v>1</v>
      </c>
    </row>
    <row r="11" spans="1:76">
      <c r="A11" s="10" t="s">
        <v>72</v>
      </c>
      <c r="B11" s="4">
        <v>3</v>
      </c>
      <c r="C11" s="4">
        <f>ROUND((($U$1*X$11)+($V$1*X$21)+($U$1*AP$11)+($V$1*AP$21)+($W$1*(3-(AP$11+AP$21)))+($W$1*(0-(X$11+X$21))))*$AO$5,0)</f>
        <v>6177</v>
      </c>
      <c r="D11" s="4">
        <f t="shared" ref="D11:R11" si="9">ROUND((($U$1*Y11)+($V$1*Y21)+($U$1*AQ11)+($V$1*AQ21)+($W$1*(3-(AQ11+AQ21)))+($W$1*(0-(Y11+Y21))))*$AO$5,0)</f>
        <v>6218</v>
      </c>
      <c r="E11" s="4">
        <f t="shared" si="9"/>
        <v>6260</v>
      </c>
      <c r="F11" s="4">
        <f t="shared" si="9"/>
        <v>6301</v>
      </c>
      <c r="G11" s="4">
        <f t="shared" si="9"/>
        <v>6301</v>
      </c>
      <c r="H11" s="4">
        <f t="shared" si="9"/>
        <v>6301</v>
      </c>
      <c r="I11" s="4">
        <f t="shared" si="9"/>
        <v>6301</v>
      </c>
      <c r="J11" s="4">
        <f t="shared" si="9"/>
        <v>6301</v>
      </c>
      <c r="K11" s="4">
        <f t="shared" si="9"/>
        <v>6301</v>
      </c>
      <c r="L11" s="4">
        <f t="shared" si="9"/>
        <v>6301</v>
      </c>
      <c r="M11" s="4">
        <f t="shared" si="9"/>
        <v>6301</v>
      </c>
      <c r="N11" s="4">
        <f t="shared" si="9"/>
        <v>6301</v>
      </c>
      <c r="O11" s="4">
        <f t="shared" si="9"/>
        <v>6301</v>
      </c>
      <c r="P11" s="4">
        <f t="shared" si="9"/>
        <v>6301</v>
      </c>
      <c r="Q11" s="4">
        <f t="shared" si="9"/>
        <v>6342</v>
      </c>
      <c r="R11" s="4">
        <f t="shared" si="9"/>
        <v>6383</v>
      </c>
      <c r="V11" s="4" t="s">
        <v>73</v>
      </c>
      <c r="W11" s="4" t="s">
        <v>62</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t="s">
        <v>73</v>
      </c>
      <c r="AO11" s="4" t="s">
        <v>62</v>
      </c>
      <c r="AP11" s="4">
        <v>3</v>
      </c>
      <c r="AQ11" s="4">
        <v>2.5</v>
      </c>
      <c r="AR11" s="4">
        <v>2</v>
      </c>
      <c r="AS11" s="4">
        <v>1.5</v>
      </c>
      <c r="AT11" s="4">
        <v>1.5</v>
      </c>
      <c r="AU11" s="4">
        <v>1.5</v>
      </c>
      <c r="AV11" s="4">
        <v>1.5</v>
      </c>
      <c r="AW11" s="4">
        <v>1.5</v>
      </c>
      <c r="AX11" s="4">
        <v>1.5</v>
      </c>
      <c r="AY11" s="4">
        <v>1.5</v>
      </c>
      <c r="AZ11" s="4">
        <v>1.5</v>
      </c>
      <c r="BA11" s="4">
        <v>1.5</v>
      </c>
      <c r="BB11" s="4">
        <v>1.5</v>
      </c>
      <c r="BC11" s="4">
        <v>1.5</v>
      </c>
      <c r="BD11" s="4">
        <v>1</v>
      </c>
      <c r="BE11" s="4">
        <v>0.5</v>
      </c>
      <c r="BG11" s="4" t="s">
        <v>73</v>
      </c>
      <c r="BH11" s="4" t="s">
        <v>74</v>
      </c>
      <c r="BI11" s="4">
        <v>0</v>
      </c>
      <c r="BJ11" s="4">
        <v>0</v>
      </c>
      <c r="BK11" s="4">
        <v>0</v>
      </c>
      <c r="BL11" s="4">
        <v>0</v>
      </c>
      <c r="BM11" s="4">
        <v>0</v>
      </c>
      <c r="BN11" s="4">
        <v>0</v>
      </c>
      <c r="BO11" s="4">
        <v>0</v>
      </c>
      <c r="BP11" s="4">
        <v>0</v>
      </c>
      <c r="BQ11" s="4">
        <v>0</v>
      </c>
      <c r="BR11" s="4">
        <v>0</v>
      </c>
      <c r="BS11" s="4">
        <v>0</v>
      </c>
      <c r="BT11" s="4">
        <v>0</v>
      </c>
      <c r="BU11" s="4">
        <v>0</v>
      </c>
      <c r="BV11" s="4">
        <v>0</v>
      </c>
      <c r="BW11" s="4">
        <v>0</v>
      </c>
      <c r="BX11" s="4">
        <v>0</v>
      </c>
    </row>
    <row r="12" spans="1:76">
      <c r="A12" s="10" t="s">
        <v>75</v>
      </c>
      <c r="B12" s="4">
        <v>2</v>
      </c>
      <c r="C12" s="4">
        <f>ROUND((($U$1*X$12)+($V$1*X$22)+($U$1*AP$12)+($V$1*AP$22)+($W$1*(2-(AP$12+AP$22)))+($W$1*(0-(X$12+X$22))))*$AO$5,0)</f>
        <v>4118</v>
      </c>
      <c r="D12" s="4">
        <f t="shared" ref="D12:R12" si="10">ROUND((($U$1*Y12)+($V$1*Y22)+($U$1*AQ12)+($V$1*AQ22)+($W$1*(2-(AQ12+AQ22)))+($W$1*(0-(Y12+Y22))))*$AO$5,0)</f>
        <v>4118</v>
      </c>
      <c r="E12" s="4">
        <f t="shared" si="10"/>
        <v>4118</v>
      </c>
      <c r="F12" s="4">
        <f t="shared" si="10"/>
        <v>4159</v>
      </c>
      <c r="G12" s="4">
        <f t="shared" si="10"/>
        <v>4159</v>
      </c>
      <c r="H12" s="4">
        <f t="shared" si="10"/>
        <v>4159</v>
      </c>
      <c r="I12" s="4">
        <f t="shared" si="10"/>
        <v>4159</v>
      </c>
      <c r="J12" s="4">
        <f t="shared" si="10"/>
        <v>4159</v>
      </c>
      <c r="K12" s="4">
        <f t="shared" si="10"/>
        <v>4159</v>
      </c>
      <c r="L12" s="4">
        <f t="shared" si="10"/>
        <v>4159</v>
      </c>
      <c r="M12" s="4">
        <f t="shared" si="10"/>
        <v>4159</v>
      </c>
      <c r="N12" s="4">
        <f t="shared" si="10"/>
        <v>4159</v>
      </c>
      <c r="O12" s="4">
        <f t="shared" si="10"/>
        <v>4159</v>
      </c>
      <c r="P12" s="4">
        <f t="shared" si="10"/>
        <v>4159</v>
      </c>
      <c r="Q12" s="4">
        <f t="shared" si="10"/>
        <v>4201</v>
      </c>
      <c r="R12" s="4">
        <f t="shared" si="10"/>
        <v>4242</v>
      </c>
      <c r="V12" s="4" t="s">
        <v>76</v>
      </c>
      <c r="W12" s="4" t="s">
        <v>62</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t="s">
        <v>76</v>
      </c>
      <c r="AO12" s="4" t="s">
        <v>62</v>
      </c>
      <c r="AP12" s="4">
        <v>2</v>
      </c>
      <c r="AQ12" s="4">
        <v>2</v>
      </c>
      <c r="AR12" s="4">
        <v>2</v>
      </c>
      <c r="AS12" s="4">
        <v>1.5</v>
      </c>
      <c r="AT12" s="4">
        <v>1.5</v>
      </c>
      <c r="AU12" s="4">
        <v>1.5</v>
      </c>
      <c r="AV12" s="4">
        <v>1.5</v>
      </c>
      <c r="AW12" s="4">
        <v>1.5</v>
      </c>
      <c r="AX12" s="4">
        <v>1.5</v>
      </c>
      <c r="AY12" s="4">
        <v>1.5</v>
      </c>
      <c r="AZ12" s="4">
        <v>1.5</v>
      </c>
      <c r="BA12" s="4">
        <v>1.5</v>
      </c>
      <c r="BB12" s="4">
        <v>1.5</v>
      </c>
      <c r="BC12" s="4">
        <v>1.5</v>
      </c>
      <c r="BD12" s="4">
        <v>1</v>
      </c>
      <c r="BE12" s="4">
        <v>0.5</v>
      </c>
      <c r="BG12" s="4" t="s">
        <v>76</v>
      </c>
      <c r="BH12" s="4" t="s">
        <v>74</v>
      </c>
      <c r="BI12" s="4">
        <v>0</v>
      </c>
      <c r="BJ12" s="4">
        <v>0</v>
      </c>
      <c r="BK12" s="4">
        <v>0</v>
      </c>
      <c r="BL12" s="4">
        <v>0</v>
      </c>
      <c r="BM12" s="4">
        <v>0</v>
      </c>
      <c r="BN12" s="4">
        <v>0</v>
      </c>
      <c r="BO12" s="4">
        <v>0</v>
      </c>
      <c r="BP12" s="4">
        <v>0</v>
      </c>
      <c r="BQ12" s="4">
        <v>0</v>
      </c>
      <c r="BR12" s="4">
        <v>0</v>
      </c>
      <c r="BS12" s="4">
        <v>0</v>
      </c>
      <c r="BT12" s="4">
        <v>0</v>
      </c>
      <c r="BU12" s="4">
        <v>0</v>
      </c>
      <c r="BV12" s="4">
        <v>0</v>
      </c>
      <c r="BW12" s="4">
        <v>0</v>
      </c>
      <c r="BX12" s="4">
        <v>0</v>
      </c>
    </row>
    <row r="13" spans="1:76">
      <c r="A13" s="10" t="s">
        <v>77</v>
      </c>
      <c r="B13" s="4">
        <v>1</v>
      </c>
      <c r="C13" s="4">
        <f>ROUND((($U$1*X$13)+($V$1*X$23)+($U$1*AP$13)+($V$1*AP$23)+($W$1*(1-(AP$13+AP$23)))+($W$1*(0-(X$13+X$23))))*$AO$5,0)</f>
        <v>2059</v>
      </c>
      <c r="D13" s="4">
        <f t="shared" ref="D13:R13" si="11">ROUND((($U$1*Y13)+($V$1*Y23)+($U$1*AQ13)+($V$1*AQ23)+($W$1*(1-(AQ13+AQ23)))+($W$1*(0-(Y13+Y23))))*$AO$5,0)</f>
        <v>2059</v>
      </c>
      <c r="E13" s="4">
        <f t="shared" si="11"/>
        <v>2059</v>
      </c>
      <c r="F13" s="4">
        <f t="shared" si="11"/>
        <v>2059</v>
      </c>
      <c r="G13" s="4">
        <f t="shared" si="11"/>
        <v>2059</v>
      </c>
      <c r="H13" s="4">
        <f t="shared" si="11"/>
        <v>2059</v>
      </c>
      <c r="I13" s="4">
        <f t="shared" si="11"/>
        <v>2059</v>
      </c>
      <c r="J13" s="4">
        <f t="shared" si="11"/>
        <v>2059</v>
      </c>
      <c r="K13" s="4">
        <f t="shared" si="11"/>
        <v>2059</v>
      </c>
      <c r="L13" s="4">
        <f t="shared" si="11"/>
        <v>2059</v>
      </c>
      <c r="M13" s="4">
        <f t="shared" si="11"/>
        <v>2059</v>
      </c>
      <c r="N13" s="4">
        <f t="shared" si="11"/>
        <v>2059</v>
      </c>
      <c r="O13" s="4">
        <f t="shared" si="11"/>
        <v>2059</v>
      </c>
      <c r="P13" s="4">
        <f t="shared" si="11"/>
        <v>2059</v>
      </c>
      <c r="Q13" s="4">
        <f t="shared" si="11"/>
        <v>2059</v>
      </c>
      <c r="R13" s="4">
        <f t="shared" si="11"/>
        <v>2100</v>
      </c>
      <c r="V13" s="4" t="s">
        <v>78</v>
      </c>
      <c r="W13" s="4" t="s">
        <v>62</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t="s">
        <v>78</v>
      </c>
      <c r="AO13" s="4" t="s">
        <v>62</v>
      </c>
      <c r="AP13" s="4">
        <v>1</v>
      </c>
      <c r="AQ13" s="4">
        <v>1</v>
      </c>
      <c r="AR13" s="4">
        <v>1</v>
      </c>
      <c r="AS13" s="4">
        <v>1</v>
      </c>
      <c r="AT13" s="4">
        <v>1</v>
      </c>
      <c r="AU13" s="4">
        <v>1</v>
      </c>
      <c r="AV13" s="4">
        <v>1</v>
      </c>
      <c r="AW13" s="4">
        <v>1</v>
      </c>
      <c r="AX13" s="4">
        <v>1</v>
      </c>
      <c r="AY13" s="4">
        <v>1</v>
      </c>
      <c r="AZ13" s="4">
        <v>1</v>
      </c>
      <c r="BA13" s="4">
        <v>1</v>
      </c>
      <c r="BB13" s="4">
        <v>1</v>
      </c>
      <c r="BC13" s="4">
        <v>1</v>
      </c>
      <c r="BD13" s="4">
        <v>1</v>
      </c>
      <c r="BE13" s="4">
        <v>0.5</v>
      </c>
      <c r="BG13" s="4" t="s">
        <v>78</v>
      </c>
      <c r="BH13" s="4" t="s">
        <v>74</v>
      </c>
      <c r="BI13" s="4">
        <v>0</v>
      </c>
      <c r="BJ13" s="4">
        <v>0</v>
      </c>
      <c r="BK13" s="4">
        <v>0</v>
      </c>
      <c r="BL13" s="4">
        <v>0</v>
      </c>
      <c r="BM13" s="4">
        <v>0</v>
      </c>
      <c r="BN13" s="4">
        <v>0</v>
      </c>
      <c r="BO13" s="4">
        <v>0</v>
      </c>
      <c r="BP13" s="4">
        <v>0</v>
      </c>
      <c r="BQ13" s="4">
        <v>0</v>
      </c>
      <c r="BR13" s="4">
        <v>0</v>
      </c>
      <c r="BS13" s="4">
        <v>0</v>
      </c>
      <c r="BT13" s="4">
        <v>0</v>
      </c>
      <c r="BU13" s="4">
        <v>0</v>
      </c>
      <c r="BV13" s="4">
        <v>0</v>
      </c>
      <c r="BW13" s="4">
        <v>0</v>
      </c>
      <c r="BX13" s="4">
        <v>0</v>
      </c>
    </row>
    <row r="14" spans="1:76">
      <c r="V14" s="117" t="s">
        <v>53</v>
      </c>
      <c r="W14" s="112">
        <f>+W5</f>
        <v>0.5</v>
      </c>
      <c r="AN14" s="117" t="s">
        <v>53</v>
      </c>
      <c r="AO14" s="112">
        <f>+W5</f>
        <v>0.5</v>
      </c>
    </row>
    <row r="15" spans="1:76" ht="16.5">
      <c r="A15" s="11" t="s">
        <v>268</v>
      </c>
      <c r="B15" s="12"/>
      <c r="C15" s="1"/>
      <c r="D15" s="1"/>
      <c r="E15" s="1"/>
      <c r="F15" s="1"/>
      <c r="G15" s="1"/>
      <c r="H15" s="1"/>
      <c r="I15" s="1"/>
      <c r="J15" s="1"/>
      <c r="K15" s="1"/>
      <c r="L15" s="1"/>
      <c r="M15" s="1"/>
      <c r="N15" s="1"/>
      <c r="O15" s="1"/>
      <c r="P15" s="1"/>
      <c r="Q15" s="1"/>
      <c r="R15" s="1"/>
      <c r="V15" s="118" t="s">
        <v>79</v>
      </c>
      <c r="W15" s="115"/>
      <c r="X15" s="110">
        <f t="shared" ref="X15:AM15" si="12">+C17</f>
        <v>44012</v>
      </c>
      <c r="Y15" s="110">
        <f t="shared" si="12"/>
        <v>44027</v>
      </c>
      <c r="Z15" s="110">
        <f t="shared" si="12"/>
        <v>44043</v>
      </c>
      <c r="AA15" s="110">
        <f t="shared" si="12"/>
        <v>44058</v>
      </c>
      <c r="AB15" s="110">
        <f t="shared" si="12"/>
        <v>44074</v>
      </c>
      <c r="AC15" s="110">
        <f t="shared" si="12"/>
        <v>44104</v>
      </c>
      <c r="AD15" s="110">
        <f t="shared" si="12"/>
        <v>44135</v>
      </c>
      <c r="AE15" s="110">
        <f t="shared" si="12"/>
        <v>44165</v>
      </c>
      <c r="AF15" s="110">
        <f t="shared" si="12"/>
        <v>44196</v>
      </c>
      <c r="AG15" s="110">
        <f t="shared" si="12"/>
        <v>44227</v>
      </c>
      <c r="AH15" s="110">
        <f t="shared" si="12"/>
        <v>44255</v>
      </c>
      <c r="AI15" s="110">
        <f t="shared" si="12"/>
        <v>44286</v>
      </c>
      <c r="AJ15" s="110">
        <f t="shared" si="12"/>
        <v>44316</v>
      </c>
      <c r="AK15" s="110">
        <f t="shared" si="12"/>
        <v>44331</v>
      </c>
      <c r="AL15" s="110">
        <f t="shared" si="12"/>
        <v>44347</v>
      </c>
      <c r="AM15" s="110">
        <f t="shared" si="12"/>
        <v>44362</v>
      </c>
      <c r="AN15" s="110"/>
      <c r="AO15" s="115"/>
      <c r="AP15" s="110">
        <f t="shared" ref="AP15:BE15" si="13">+X15</f>
        <v>44012</v>
      </c>
      <c r="AQ15" s="110">
        <f t="shared" si="13"/>
        <v>44027</v>
      </c>
      <c r="AR15" s="110">
        <f t="shared" si="13"/>
        <v>44043</v>
      </c>
      <c r="AS15" s="110">
        <f t="shared" si="13"/>
        <v>44058</v>
      </c>
      <c r="AT15" s="110">
        <f t="shared" si="13"/>
        <v>44074</v>
      </c>
      <c r="AU15" s="110">
        <f t="shared" si="13"/>
        <v>44104</v>
      </c>
      <c r="AV15" s="110">
        <f t="shared" si="13"/>
        <v>44135</v>
      </c>
      <c r="AW15" s="110">
        <f t="shared" si="13"/>
        <v>44165</v>
      </c>
      <c r="AX15" s="110">
        <f t="shared" si="13"/>
        <v>44196</v>
      </c>
      <c r="AY15" s="110">
        <f t="shared" si="13"/>
        <v>44227</v>
      </c>
      <c r="AZ15" s="110">
        <f t="shared" si="13"/>
        <v>44255</v>
      </c>
      <c r="BA15" s="110">
        <f t="shared" si="13"/>
        <v>44286</v>
      </c>
      <c r="BB15" s="110">
        <f t="shared" si="13"/>
        <v>44316</v>
      </c>
      <c r="BC15" s="110">
        <f t="shared" si="13"/>
        <v>44331</v>
      </c>
      <c r="BD15" s="110">
        <f t="shared" si="13"/>
        <v>44347</v>
      </c>
      <c r="BE15" s="110">
        <f t="shared" si="13"/>
        <v>44362</v>
      </c>
    </row>
    <row r="16" spans="1:76" ht="15.75">
      <c r="A16" s="11"/>
      <c r="B16" s="13" t="s">
        <v>54</v>
      </c>
      <c r="C16" s="1"/>
      <c r="D16" s="1"/>
      <c r="E16" s="1"/>
      <c r="F16" s="1"/>
      <c r="G16" s="1"/>
      <c r="H16" s="1"/>
      <c r="I16" s="1"/>
      <c r="J16" s="1"/>
      <c r="K16" s="1"/>
      <c r="L16" s="1"/>
      <c r="M16" s="1"/>
      <c r="N16" s="1"/>
      <c r="O16" s="1"/>
      <c r="P16" s="1"/>
      <c r="Q16" s="1"/>
      <c r="R16" s="1"/>
      <c r="X16" s="20"/>
      <c r="Y16" s="20"/>
      <c r="Z16" s="20"/>
      <c r="AA16" s="20"/>
      <c r="AB16" s="20"/>
      <c r="AC16" s="20"/>
      <c r="AD16" s="20"/>
      <c r="AE16" s="20"/>
      <c r="AF16" s="20"/>
      <c r="AG16" s="20"/>
      <c r="AH16" s="20"/>
      <c r="AI16" s="20"/>
      <c r="AJ16" s="20"/>
      <c r="AK16" s="20"/>
      <c r="AL16" s="20"/>
      <c r="AM16" s="20"/>
      <c r="AN16" s="20"/>
      <c r="AP16" s="20"/>
      <c r="AQ16" s="20"/>
      <c r="AR16" s="20"/>
      <c r="AS16" s="20"/>
      <c r="AT16" s="20"/>
      <c r="AU16" s="20"/>
      <c r="AV16" s="20"/>
      <c r="AW16" s="20"/>
      <c r="AX16" s="20"/>
      <c r="AY16" s="20"/>
      <c r="AZ16" s="20"/>
      <c r="BA16" s="20"/>
      <c r="BB16" s="20"/>
      <c r="BC16" s="20"/>
      <c r="BD16" s="20"/>
      <c r="BE16" s="20"/>
    </row>
    <row r="17" spans="1:57">
      <c r="A17" s="16"/>
      <c r="B17" s="17" t="s">
        <v>58</v>
      </c>
      <c r="C17" s="18">
        <f t="shared" ref="C17:R17" si="14">+C6</f>
        <v>44012</v>
      </c>
      <c r="D17" s="18">
        <f t="shared" si="14"/>
        <v>44027</v>
      </c>
      <c r="E17" s="18">
        <f t="shared" si="14"/>
        <v>44043</v>
      </c>
      <c r="F17" s="18">
        <f t="shared" si="14"/>
        <v>44058</v>
      </c>
      <c r="G17" s="18">
        <f t="shared" si="14"/>
        <v>44074</v>
      </c>
      <c r="H17" s="18">
        <f t="shared" si="14"/>
        <v>44104</v>
      </c>
      <c r="I17" s="18">
        <f t="shared" si="14"/>
        <v>44135</v>
      </c>
      <c r="J17" s="18">
        <f t="shared" si="14"/>
        <v>44165</v>
      </c>
      <c r="K17" s="18">
        <f t="shared" si="14"/>
        <v>44196</v>
      </c>
      <c r="L17" s="18">
        <f t="shared" si="14"/>
        <v>44227</v>
      </c>
      <c r="M17" s="18">
        <f t="shared" si="14"/>
        <v>44255</v>
      </c>
      <c r="N17" s="18">
        <f t="shared" si="14"/>
        <v>44286</v>
      </c>
      <c r="O17" s="18">
        <f t="shared" si="14"/>
        <v>44316</v>
      </c>
      <c r="P17" s="18">
        <f t="shared" si="14"/>
        <v>44331</v>
      </c>
      <c r="Q17" s="18">
        <f t="shared" si="14"/>
        <v>44347</v>
      </c>
      <c r="R17" s="18">
        <f t="shared" si="14"/>
        <v>44362</v>
      </c>
      <c r="V17" s="4" t="s">
        <v>60</v>
      </c>
      <c r="W17" s="4" t="s">
        <v>63</v>
      </c>
      <c r="X17" s="4">
        <v>0</v>
      </c>
      <c r="Y17" s="4">
        <v>0</v>
      </c>
      <c r="Z17" s="4">
        <v>0</v>
      </c>
      <c r="AA17" s="4">
        <v>0</v>
      </c>
      <c r="AB17" s="4">
        <v>0.5</v>
      </c>
      <c r="AC17" s="4">
        <v>1.5</v>
      </c>
      <c r="AD17" s="4">
        <v>2.5</v>
      </c>
      <c r="AE17" s="4">
        <v>3.5</v>
      </c>
      <c r="AF17" s="4">
        <v>4.5</v>
      </c>
      <c r="AG17" s="4">
        <v>5.5</v>
      </c>
      <c r="AH17" s="4">
        <v>6.5</v>
      </c>
      <c r="AI17" s="4">
        <v>7.5</v>
      </c>
      <c r="AJ17" s="4">
        <v>8.5</v>
      </c>
      <c r="AK17" s="4">
        <v>9</v>
      </c>
      <c r="AL17" s="4">
        <v>9</v>
      </c>
      <c r="AM17" s="4">
        <v>9</v>
      </c>
      <c r="AN17" s="4" t="s">
        <v>60</v>
      </c>
      <c r="AO17" s="4" t="s">
        <v>74</v>
      </c>
      <c r="AP17" s="4">
        <f t="shared" ref="AP17:BE17" si="15">3-AP7</f>
        <v>0</v>
      </c>
      <c r="AQ17" s="4">
        <f t="shared" si="15"/>
        <v>0.5</v>
      </c>
      <c r="AR17" s="4">
        <f t="shared" si="15"/>
        <v>1</v>
      </c>
      <c r="AS17" s="4">
        <f t="shared" si="15"/>
        <v>1.5</v>
      </c>
      <c r="AT17" s="4">
        <f t="shared" si="15"/>
        <v>1.5</v>
      </c>
      <c r="AU17" s="4">
        <f t="shared" si="15"/>
        <v>1.5</v>
      </c>
      <c r="AV17" s="4">
        <f t="shared" si="15"/>
        <v>1.5</v>
      </c>
      <c r="AW17" s="4">
        <f t="shared" si="15"/>
        <v>1.5</v>
      </c>
      <c r="AX17" s="4">
        <f t="shared" si="15"/>
        <v>1.5</v>
      </c>
      <c r="AY17" s="4">
        <f t="shared" si="15"/>
        <v>1.5</v>
      </c>
      <c r="AZ17" s="4">
        <f t="shared" si="15"/>
        <v>1.5</v>
      </c>
      <c r="BA17" s="4">
        <f t="shared" si="15"/>
        <v>1.5</v>
      </c>
      <c r="BB17" s="4">
        <f t="shared" si="15"/>
        <v>1.5</v>
      </c>
      <c r="BC17" s="4">
        <f t="shared" si="15"/>
        <v>1.5</v>
      </c>
      <c r="BD17" s="4">
        <f t="shared" si="15"/>
        <v>2</v>
      </c>
      <c r="BE17" s="4">
        <f t="shared" si="15"/>
        <v>2.5</v>
      </c>
    </row>
    <row r="18" spans="1:57">
      <c r="A18" s="10" t="s">
        <v>59</v>
      </c>
      <c r="B18" s="4">
        <v>12</v>
      </c>
      <c r="C18" s="4">
        <f t="shared" ref="C18:R18" si="16">ROUND((($U$2*X$7)+($V$2*X$17)+($U$2*AP$7)+($V$2*AP$17)+($W$2*(3-(AP$7+AP$17)))+($W$2*(9-(X$7+X$17))))*$AO$5,0)</f>
        <v>23478</v>
      </c>
      <c r="D18" s="4">
        <f t="shared" si="16"/>
        <v>23517</v>
      </c>
      <c r="E18" s="4">
        <f t="shared" si="16"/>
        <v>23557</v>
      </c>
      <c r="F18" s="4">
        <f t="shared" si="16"/>
        <v>23596</v>
      </c>
      <c r="G18" s="4">
        <f t="shared" si="16"/>
        <v>23635</v>
      </c>
      <c r="H18" s="4">
        <f t="shared" si="16"/>
        <v>23714</v>
      </c>
      <c r="I18" s="4">
        <f t="shared" si="16"/>
        <v>23792</v>
      </c>
      <c r="J18" s="4">
        <f t="shared" si="16"/>
        <v>23871</v>
      </c>
      <c r="K18" s="4">
        <f t="shared" si="16"/>
        <v>23949</v>
      </c>
      <c r="L18" s="4">
        <f t="shared" si="16"/>
        <v>24028</v>
      </c>
      <c r="M18" s="4">
        <f t="shared" si="16"/>
        <v>24106</v>
      </c>
      <c r="N18" s="4">
        <f t="shared" si="16"/>
        <v>24185</v>
      </c>
      <c r="O18" s="4">
        <f t="shared" si="16"/>
        <v>24263</v>
      </c>
      <c r="P18" s="4">
        <f t="shared" si="16"/>
        <v>24302</v>
      </c>
      <c r="Q18" s="4">
        <f t="shared" si="16"/>
        <v>24342</v>
      </c>
      <c r="R18" s="4">
        <f t="shared" si="16"/>
        <v>24381</v>
      </c>
      <c r="V18" s="4" t="s">
        <v>65</v>
      </c>
      <c r="W18" s="4" t="s">
        <v>67</v>
      </c>
      <c r="X18" s="4">
        <v>0</v>
      </c>
      <c r="Y18" s="4">
        <v>0</v>
      </c>
      <c r="Z18" s="4">
        <v>0</v>
      </c>
      <c r="AA18" s="4">
        <v>0</v>
      </c>
      <c r="AB18" s="4">
        <v>0.5</v>
      </c>
      <c r="AC18" s="4">
        <v>1.5</v>
      </c>
      <c r="AD18" s="4">
        <v>2.5</v>
      </c>
      <c r="AE18" s="4">
        <v>3.5</v>
      </c>
      <c r="AF18" s="4">
        <v>4.5</v>
      </c>
      <c r="AG18" s="4">
        <v>5.5</v>
      </c>
      <c r="AH18" s="4">
        <v>6.5</v>
      </c>
      <c r="AI18" s="4">
        <v>7.5</v>
      </c>
      <c r="AJ18" s="4">
        <v>8.5</v>
      </c>
      <c r="AK18" s="4">
        <v>9</v>
      </c>
      <c r="AL18" s="4">
        <v>9</v>
      </c>
      <c r="AM18" s="4">
        <v>9</v>
      </c>
      <c r="AN18" s="4" t="s">
        <v>65</v>
      </c>
      <c r="AO18" s="4" t="s">
        <v>74</v>
      </c>
      <c r="AP18" s="4">
        <f t="shared" ref="AP18:BE18" si="17">2-AP8</f>
        <v>0</v>
      </c>
      <c r="AQ18" s="4">
        <f t="shared" si="17"/>
        <v>0</v>
      </c>
      <c r="AR18" s="4">
        <f t="shared" si="17"/>
        <v>0</v>
      </c>
      <c r="AS18" s="4">
        <f t="shared" si="17"/>
        <v>0.5</v>
      </c>
      <c r="AT18" s="4">
        <f t="shared" si="17"/>
        <v>0.5</v>
      </c>
      <c r="AU18" s="4">
        <f t="shared" si="17"/>
        <v>0.5</v>
      </c>
      <c r="AV18" s="4">
        <f t="shared" si="17"/>
        <v>0.5</v>
      </c>
      <c r="AW18" s="4">
        <f t="shared" si="17"/>
        <v>0.5</v>
      </c>
      <c r="AX18" s="4">
        <f t="shared" si="17"/>
        <v>0.5</v>
      </c>
      <c r="AY18" s="4">
        <f t="shared" si="17"/>
        <v>0.5</v>
      </c>
      <c r="AZ18" s="4">
        <f t="shared" si="17"/>
        <v>0.5</v>
      </c>
      <c r="BA18" s="4">
        <f t="shared" si="17"/>
        <v>0.5</v>
      </c>
      <c r="BB18" s="4">
        <f t="shared" si="17"/>
        <v>0.5</v>
      </c>
      <c r="BC18" s="4">
        <f t="shared" si="17"/>
        <v>0.5</v>
      </c>
      <c r="BD18" s="4">
        <f t="shared" si="17"/>
        <v>1</v>
      </c>
      <c r="BE18" s="4">
        <f t="shared" si="17"/>
        <v>1.5</v>
      </c>
    </row>
    <row r="19" spans="1:57">
      <c r="A19" s="10" t="s">
        <v>64</v>
      </c>
      <c r="B19" s="4">
        <v>11</v>
      </c>
      <c r="C19" s="4">
        <f t="shared" ref="C19:R19" si="18">ROUND((($U$2*X$8)+($V$2*X$18)+($U$2*AP$8)+($V$2*AP$18)+($W$2*(2-(AP$8+AP$18)))+($W$2*(9-(X$8+X$18))))*$AO$5,0)</f>
        <v>21522</v>
      </c>
      <c r="D19" s="4">
        <f t="shared" si="18"/>
        <v>21522</v>
      </c>
      <c r="E19" s="4">
        <f t="shared" si="18"/>
        <v>21522</v>
      </c>
      <c r="F19" s="4">
        <f t="shared" si="18"/>
        <v>21561</v>
      </c>
      <c r="G19" s="4">
        <f t="shared" si="18"/>
        <v>21600</v>
      </c>
      <c r="H19" s="4">
        <f t="shared" si="18"/>
        <v>21679</v>
      </c>
      <c r="I19" s="4">
        <f t="shared" si="18"/>
        <v>21757</v>
      </c>
      <c r="J19" s="4">
        <f t="shared" si="18"/>
        <v>21836</v>
      </c>
      <c r="K19" s="4">
        <f t="shared" si="18"/>
        <v>21914</v>
      </c>
      <c r="L19" s="4">
        <f t="shared" si="18"/>
        <v>21993</v>
      </c>
      <c r="M19" s="4">
        <f t="shared" si="18"/>
        <v>22071</v>
      </c>
      <c r="N19" s="4">
        <f t="shared" si="18"/>
        <v>22150</v>
      </c>
      <c r="O19" s="4">
        <f t="shared" si="18"/>
        <v>22228</v>
      </c>
      <c r="P19" s="4">
        <f t="shared" si="18"/>
        <v>22267</v>
      </c>
      <c r="Q19" s="4">
        <f t="shared" si="18"/>
        <v>22307</v>
      </c>
      <c r="R19" s="4">
        <f t="shared" si="18"/>
        <v>22346</v>
      </c>
      <c r="V19" s="4" t="s">
        <v>69</v>
      </c>
      <c r="W19" s="4" t="s">
        <v>67</v>
      </c>
      <c r="X19" s="4">
        <v>0</v>
      </c>
      <c r="Y19" s="4">
        <v>0</v>
      </c>
      <c r="Z19" s="4">
        <v>0</v>
      </c>
      <c r="AA19" s="4">
        <v>0</v>
      </c>
      <c r="AB19" s="4">
        <v>0.5</v>
      </c>
      <c r="AC19" s="4">
        <v>1.5</v>
      </c>
      <c r="AD19" s="4">
        <v>2.5</v>
      </c>
      <c r="AE19" s="4">
        <v>3.5</v>
      </c>
      <c r="AF19" s="4">
        <v>4.5</v>
      </c>
      <c r="AG19" s="4">
        <v>5.5</v>
      </c>
      <c r="AH19" s="4">
        <v>6.5</v>
      </c>
      <c r="AI19" s="4">
        <v>7.5</v>
      </c>
      <c r="AJ19" s="4">
        <v>8.5</v>
      </c>
      <c r="AK19" s="4">
        <v>9</v>
      </c>
      <c r="AL19" s="4">
        <v>9</v>
      </c>
      <c r="AM19" s="4">
        <v>9</v>
      </c>
      <c r="AN19" s="4" t="s">
        <v>69</v>
      </c>
      <c r="AO19" s="4" t="s">
        <v>74</v>
      </c>
      <c r="AP19" s="4">
        <f t="shared" ref="AP19:BE19" si="19">1-AP9</f>
        <v>0</v>
      </c>
      <c r="AQ19" s="4">
        <f t="shared" si="19"/>
        <v>0</v>
      </c>
      <c r="AR19" s="4">
        <f t="shared" si="19"/>
        <v>0</v>
      </c>
      <c r="AS19" s="4">
        <f t="shared" si="19"/>
        <v>0</v>
      </c>
      <c r="AT19" s="4">
        <f t="shared" si="19"/>
        <v>0</v>
      </c>
      <c r="AU19" s="4">
        <f t="shared" si="19"/>
        <v>0</v>
      </c>
      <c r="AV19" s="4">
        <f t="shared" si="19"/>
        <v>0</v>
      </c>
      <c r="AW19" s="4">
        <f t="shared" si="19"/>
        <v>0</v>
      </c>
      <c r="AX19" s="4">
        <f t="shared" si="19"/>
        <v>0</v>
      </c>
      <c r="AY19" s="4">
        <f t="shared" si="19"/>
        <v>0</v>
      </c>
      <c r="AZ19" s="4">
        <f t="shared" si="19"/>
        <v>0</v>
      </c>
      <c r="BA19" s="4">
        <f t="shared" si="19"/>
        <v>0</v>
      </c>
      <c r="BB19" s="4">
        <f t="shared" si="19"/>
        <v>0</v>
      </c>
      <c r="BC19" s="4">
        <f t="shared" si="19"/>
        <v>0</v>
      </c>
      <c r="BD19" s="4">
        <f t="shared" si="19"/>
        <v>0</v>
      </c>
      <c r="BE19" s="4">
        <f t="shared" si="19"/>
        <v>0.5</v>
      </c>
    </row>
    <row r="20" spans="1:57">
      <c r="A20" s="10" t="s">
        <v>68</v>
      </c>
      <c r="B20" s="4">
        <v>10</v>
      </c>
      <c r="C20" s="4">
        <f t="shared" ref="C20:R20" si="20">ROUND((($U$2*X$9)+($V$2*X$19)+($U$2*AP$9)+($V$2*AP$19)+($W$2*(1-(AP$9+AP$19)))+($W$2*(9-(X$9+X$19))))*$AO$5,0)</f>
        <v>19565</v>
      </c>
      <c r="D20" s="4">
        <f t="shared" si="20"/>
        <v>19565</v>
      </c>
      <c r="E20" s="4">
        <f t="shared" si="20"/>
        <v>19565</v>
      </c>
      <c r="F20" s="4">
        <f t="shared" si="20"/>
        <v>19565</v>
      </c>
      <c r="G20" s="4">
        <f t="shared" si="20"/>
        <v>19604</v>
      </c>
      <c r="H20" s="4">
        <f t="shared" si="20"/>
        <v>19683</v>
      </c>
      <c r="I20" s="4">
        <f t="shared" si="20"/>
        <v>19761</v>
      </c>
      <c r="J20" s="4">
        <f t="shared" si="20"/>
        <v>19840</v>
      </c>
      <c r="K20" s="4">
        <f t="shared" si="20"/>
        <v>19918</v>
      </c>
      <c r="L20" s="4">
        <f t="shared" si="20"/>
        <v>19997</v>
      </c>
      <c r="M20" s="4">
        <f t="shared" si="20"/>
        <v>20075</v>
      </c>
      <c r="N20" s="4">
        <f t="shared" si="20"/>
        <v>20154</v>
      </c>
      <c r="O20" s="4">
        <f t="shared" si="20"/>
        <v>20232</v>
      </c>
      <c r="P20" s="4">
        <f t="shared" si="20"/>
        <v>20272</v>
      </c>
      <c r="Q20" s="4">
        <f t="shared" si="20"/>
        <v>20272</v>
      </c>
      <c r="R20" s="4">
        <f t="shared" si="20"/>
        <v>20311</v>
      </c>
      <c r="V20" s="4" t="s">
        <v>71</v>
      </c>
      <c r="W20" s="4" t="s">
        <v>67</v>
      </c>
      <c r="X20" s="4">
        <v>0</v>
      </c>
      <c r="Y20" s="4">
        <v>0</v>
      </c>
      <c r="Z20" s="4">
        <v>0</v>
      </c>
      <c r="AA20" s="4">
        <v>0</v>
      </c>
      <c r="AB20" s="4">
        <v>0.5</v>
      </c>
      <c r="AC20" s="4">
        <v>1.5</v>
      </c>
      <c r="AD20" s="4">
        <v>2.5</v>
      </c>
      <c r="AE20" s="4">
        <v>3.5</v>
      </c>
      <c r="AF20" s="4">
        <v>4.5</v>
      </c>
      <c r="AG20" s="4">
        <v>5.5</v>
      </c>
      <c r="AH20" s="4">
        <v>6.5</v>
      </c>
      <c r="AI20" s="4">
        <v>7.5</v>
      </c>
      <c r="AJ20" s="4">
        <v>8.5</v>
      </c>
      <c r="AK20" s="4">
        <v>9</v>
      </c>
      <c r="AL20" s="4">
        <v>9</v>
      </c>
      <c r="AM20" s="4">
        <v>9</v>
      </c>
      <c r="AN20" s="4" t="s">
        <v>71</v>
      </c>
      <c r="AO20" s="4" t="s">
        <v>74</v>
      </c>
      <c r="AP20" s="4">
        <v>0</v>
      </c>
      <c r="AQ20" s="4">
        <v>0</v>
      </c>
      <c r="AR20" s="4">
        <v>0</v>
      </c>
      <c r="AS20" s="4">
        <v>0</v>
      </c>
      <c r="AT20" s="4">
        <v>0</v>
      </c>
      <c r="AU20" s="4">
        <v>0</v>
      </c>
      <c r="AV20" s="4">
        <v>0</v>
      </c>
      <c r="AW20" s="4">
        <v>0</v>
      </c>
      <c r="AX20" s="4">
        <v>0</v>
      </c>
      <c r="AY20" s="4">
        <v>0</v>
      </c>
      <c r="AZ20" s="4">
        <v>0</v>
      </c>
      <c r="BA20" s="4">
        <v>0</v>
      </c>
      <c r="BB20" s="4">
        <v>0</v>
      </c>
      <c r="BC20" s="4">
        <v>0</v>
      </c>
      <c r="BD20" s="4">
        <v>0</v>
      </c>
      <c r="BE20" s="4">
        <v>0</v>
      </c>
    </row>
    <row r="21" spans="1:57">
      <c r="A21" s="10" t="s">
        <v>70</v>
      </c>
      <c r="B21" s="4">
        <v>9</v>
      </c>
      <c r="C21" s="4">
        <f t="shared" ref="C21:R21" si="21">ROUND((($U$2*X$10)+($V$2*X$20)+($U$2*AP$10)+($V$2*AP$20)+($W$2*(0-(AP$10+AP$20)))+($W$2*(9-(X$10+X$20))))*$AO$5,0)</f>
        <v>17609</v>
      </c>
      <c r="D21" s="4">
        <f t="shared" si="21"/>
        <v>17609</v>
      </c>
      <c r="E21" s="4">
        <f t="shared" si="21"/>
        <v>17609</v>
      </c>
      <c r="F21" s="4">
        <f t="shared" si="21"/>
        <v>17609</v>
      </c>
      <c r="G21" s="4">
        <f t="shared" si="21"/>
        <v>17648</v>
      </c>
      <c r="H21" s="4">
        <f t="shared" si="21"/>
        <v>17726</v>
      </c>
      <c r="I21" s="4">
        <f t="shared" si="21"/>
        <v>17805</v>
      </c>
      <c r="J21" s="4">
        <f t="shared" si="21"/>
        <v>17883</v>
      </c>
      <c r="K21" s="4">
        <f t="shared" si="21"/>
        <v>17962</v>
      </c>
      <c r="L21" s="4">
        <f t="shared" si="21"/>
        <v>18040</v>
      </c>
      <c r="M21" s="4">
        <f t="shared" si="21"/>
        <v>18119</v>
      </c>
      <c r="N21" s="4">
        <f t="shared" si="21"/>
        <v>18197</v>
      </c>
      <c r="O21" s="4">
        <f t="shared" si="21"/>
        <v>18276</v>
      </c>
      <c r="P21" s="4">
        <f t="shared" si="21"/>
        <v>18315</v>
      </c>
      <c r="Q21" s="4">
        <f t="shared" si="21"/>
        <v>18315</v>
      </c>
      <c r="R21" s="4">
        <f t="shared" si="21"/>
        <v>18315</v>
      </c>
      <c r="V21" s="4" t="s">
        <v>73</v>
      </c>
      <c r="W21" s="4" t="s">
        <v>74</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t="s">
        <v>73</v>
      </c>
      <c r="AO21" s="4" t="s">
        <v>74</v>
      </c>
      <c r="AP21" s="4">
        <f t="shared" ref="AP21:BE21" si="22">3-AP11</f>
        <v>0</v>
      </c>
      <c r="AQ21" s="4">
        <f t="shared" si="22"/>
        <v>0.5</v>
      </c>
      <c r="AR21" s="4">
        <f t="shared" si="22"/>
        <v>1</v>
      </c>
      <c r="AS21" s="4">
        <f t="shared" si="22"/>
        <v>1.5</v>
      </c>
      <c r="AT21" s="4">
        <f t="shared" si="22"/>
        <v>1.5</v>
      </c>
      <c r="AU21" s="4">
        <f t="shared" si="22"/>
        <v>1.5</v>
      </c>
      <c r="AV21" s="4">
        <f t="shared" si="22"/>
        <v>1.5</v>
      </c>
      <c r="AW21" s="4">
        <f t="shared" si="22"/>
        <v>1.5</v>
      </c>
      <c r="AX21" s="4">
        <f t="shared" si="22"/>
        <v>1.5</v>
      </c>
      <c r="AY21" s="4">
        <f t="shared" si="22"/>
        <v>1.5</v>
      </c>
      <c r="AZ21" s="4">
        <f t="shared" si="22"/>
        <v>1.5</v>
      </c>
      <c r="BA21" s="4">
        <f t="shared" si="22"/>
        <v>1.5</v>
      </c>
      <c r="BB21" s="4">
        <f t="shared" si="22"/>
        <v>1.5</v>
      </c>
      <c r="BC21" s="4">
        <f t="shared" si="22"/>
        <v>1.5</v>
      </c>
      <c r="BD21" s="4">
        <f t="shared" si="22"/>
        <v>2</v>
      </c>
      <c r="BE21" s="4">
        <f t="shared" si="22"/>
        <v>2.5</v>
      </c>
    </row>
    <row r="22" spans="1:57">
      <c r="A22" s="10" t="s">
        <v>72</v>
      </c>
      <c r="B22" s="4">
        <v>3</v>
      </c>
      <c r="C22" s="4">
        <f t="shared" ref="C22:R22" si="23">ROUND((($U$2*X$11)+($V$2*X$21)+($U$2*AP$11)+($V$2*AP$21)+($W$2*(3-(AP$11+AP$21)))+($W$2*(0-(X$11+X$21))))*$AO$5,0)</f>
        <v>5870</v>
      </c>
      <c r="D22" s="4">
        <f t="shared" si="23"/>
        <v>5909</v>
      </c>
      <c r="E22" s="4">
        <f t="shared" si="23"/>
        <v>5948</v>
      </c>
      <c r="F22" s="4">
        <f t="shared" si="23"/>
        <v>5987</v>
      </c>
      <c r="G22" s="4">
        <f t="shared" si="23"/>
        <v>5987</v>
      </c>
      <c r="H22" s="4">
        <f t="shared" si="23"/>
        <v>5987</v>
      </c>
      <c r="I22" s="4">
        <f t="shared" si="23"/>
        <v>5987</v>
      </c>
      <c r="J22" s="4">
        <f t="shared" si="23"/>
        <v>5987</v>
      </c>
      <c r="K22" s="4">
        <f t="shared" si="23"/>
        <v>5987</v>
      </c>
      <c r="L22" s="4">
        <f t="shared" si="23"/>
        <v>5987</v>
      </c>
      <c r="M22" s="4">
        <f t="shared" si="23"/>
        <v>5987</v>
      </c>
      <c r="N22" s="4">
        <f t="shared" si="23"/>
        <v>5987</v>
      </c>
      <c r="O22" s="4">
        <f t="shared" si="23"/>
        <v>5987</v>
      </c>
      <c r="P22" s="4">
        <f t="shared" si="23"/>
        <v>5987</v>
      </c>
      <c r="Q22" s="4">
        <f t="shared" si="23"/>
        <v>6027</v>
      </c>
      <c r="R22" s="4">
        <f t="shared" si="23"/>
        <v>6066</v>
      </c>
      <c r="V22" s="4" t="s">
        <v>76</v>
      </c>
      <c r="W22" s="4" t="s">
        <v>74</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t="s">
        <v>76</v>
      </c>
      <c r="AO22" s="4" t="s">
        <v>74</v>
      </c>
      <c r="AP22" s="4">
        <f t="shared" ref="AP22:BE22" si="24">2-AP12</f>
        <v>0</v>
      </c>
      <c r="AQ22" s="4">
        <f t="shared" si="24"/>
        <v>0</v>
      </c>
      <c r="AR22" s="4">
        <f t="shared" si="24"/>
        <v>0</v>
      </c>
      <c r="AS22" s="4">
        <f t="shared" si="24"/>
        <v>0.5</v>
      </c>
      <c r="AT22" s="4">
        <f t="shared" si="24"/>
        <v>0.5</v>
      </c>
      <c r="AU22" s="4">
        <f t="shared" si="24"/>
        <v>0.5</v>
      </c>
      <c r="AV22" s="4">
        <f t="shared" si="24"/>
        <v>0.5</v>
      </c>
      <c r="AW22" s="4">
        <f t="shared" si="24"/>
        <v>0.5</v>
      </c>
      <c r="AX22" s="4">
        <f t="shared" si="24"/>
        <v>0.5</v>
      </c>
      <c r="AY22" s="4">
        <f t="shared" si="24"/>
        <v>0.5</v>
      </c>
      <c r="AZ22" s="4">
        <f t="shared" si="24"/>
        <v>0.5</v>
      </c>
      <c r="BA22" s="4">
        <f t="shared" si="24"/>
        <v>0.5</v>
      </c>
      <c r="BB22" s="4">
        <f t="shared" si="24"/>
        <v>0.5</v>
      </c>
      <c r="BC22" s="4">
        <f t="shared" si="24"/>
        <v>0.5</v>
      </c>
      <c r="BD22" s="4">
        <f t="shared" si="24"/>
        <v>1</v>
      </c>
      <c r="BE22" s="4">
        <f t="shared" si="24"/>
        <v>1.5</v>
      </c>
    </row>
    <row r="23" spans="1:57">
      <c r="A23" s="10" t="s">
        <v>75</v>
      </c>
      <c r="B23" s="4">
        <v>2</v>
      </c>
      <c r="C23" s="4">
        <f t="shared" ref="C23:R23" si="25">ROUND((($U$2*X$12)+($V$2*X$22)+($U$2*AP$12)+($V$2*AP$22)+($W$2*(2-(AP$12+AP$22)))+($W$2*(0-(X$12+X$22))))*$AO$5,0)</f>
        <v>3913</v>
      </c>
      <c r="D23" s="4">
        <f t="shared" si="25"/>
        <v>3913</v>
      </c>
      <c r="E23" s="4">
        <f t="shared" si="25"/>
        <v>3913</v>
      </c>
      <c r="F23" s="4">
        <f t="shared" si="25"/>
        <v>3952</v>
      </c>
      <c r="G23" s="4">
        <f t="shared" si="25"/>
        <v>3952</v>
      </c>
      <c r="H23" s="4">
        <f t="shared" si="25"/>
        <v>3952</v>
      </c>
      <c r="I23" s="4">
        <f t="shared" si="25"/>
        <v>3952</v>
      </c>
      <c r="J23" s="4">
        <f t="shared" si="25"/>
        <v>3952</v>
      </c>
      <c r="K23" s="4">
        <f t="shared" si="25"/>
        <v>3952</v>
      </c>
      <c r="L23" s="4">
        <f t="shared" si="25"/>
        <v>3952</v>
      </c>
      <c r="M23" s="4">
        <f t="shared" si="25"/>
        <v>3952</v>
      </c>
      <c r="N23" s="4">
        <f t="shared" si="25"/>
        <v>3952</v>
      </c>
      <c r="O23" s="4">
        <f t="shared" si="25"/>
        <v>3952</v>
      </c>
      <c r="P23" s="4">
        <f t="shared" si="25"/>
        <v>3952</v>
      </c>
      <c r="Q23" s="4">
        <f t="shared" si="25"/>
        <v>3992</v>
      </c>
      <c r="R23" s="4">
        <f t="shared" si="25"/>
        <v>4031</v>
      </c>
      <c r="V23" s="4" t="s">
        <v>78</v>
      </c>
      <c r="W23" s="4" t="s">
        <v>74</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t="s">
        <v>78</v>
      </c>
      <c r="AO23" s="4" t="s">
        <v>74</v>
      </c>
      <c r="AP23" s="4">
        <f t="shared" ref="AP23:BE23" si="26">1-AP13</f>
        <v>0</v>
      </c>
      <c r="AQ23" s="4">
        <f t="shared" si="26"/>
        <v>0</v>
      </c>
      <c r="AR23" s="4">
        <f t="shared" si="26"/>
        <v>0</v>
      </c>
      <c r="AS23" s="4">
        <f t="shared" si="26"/>
        <v>0</v>
      </c>
      <c r="AT23" s="4">
        <f t="shared" si="26"/>
        <v>0</v>
      </c>
      <c r="AU23" s="4">
        <f t="shared" si="26"/>
        <v>0</v>
      </c>
      <c r="AV23" s="4">
        <f t="shared" si="26"/>
        <v>0</v>
      </c>
      <c r="AW23" s="4">
        <f t="shared" si="26"/>
        <v>0</v>
      </c>
      <c r="AX23" s="4">
        <f t="shared" si="26"/>
        <v>0</v>
      </c>
      <c r="AY23" s="4">
        <f t="shared" si="26"/>
        <v>0</v>
      </c>
      <c r="AZ23" s="4">
        <f t="shared" si="26"/>
        <v>0</v>
      </c>
      <c r="BA23" s="4">
        <f t="shared" si="26"/>
        <v>0</v>
      </c>
      <c r="BB23" s="4">
        <f t="shared" si="26"/>
        <v>0</v>
      </c>
      <c r="BC23" s="4">
        <f t="shared" si="26"/>
        <v>0</v>
      </c>
      <c r="BD23" s="4">
        <f t="shared" si="26"/>
        <v>0</v>
      </c>
      <c r="BE23" s="4">
        <f t="shared" si="26"/>
        <v>0.5</v>
      </c>
    </row>
    <row r="24" spans="1:57">
      <c r="A24" s="10" t="s">
        <v>77</v>
      </c>
      <c r="B24" s="4">
        <v>1</v>
      </c>
      <c r="C24" s="4">
        <f t="shared" ref="C24:R24" si="27">ROUND((($U$2*X$13)+($V$2*X$23)+($U$2*AP$13)+($V$2*AP$23)+($W$2*(1-(AP$13+AP$23)))+($W$2*(0-(X$13+X$23))))*$AO$5,0)</f>
        <v>1957</v>
      </c>
      <c r="D24" s="4">
        <f t="shared" si="27"/>
        <v>1957</v>
      </c>
      <c r="E24" s="4">
        <f t="shared" si="27"/>
        <v>1957</v>
      </c>
      <c r="F24" s="4">
        <f t="shared" si="27"/>
        <v>1957</v>
      </c>
      <c r="G24" s="4">
        <f t="shared" si="27"/>
        <v>1957</v>
      </c>
      <c r="H24" s="4">
        <f t="shared" si="27"/>
        <v>1957</v>
      </c>
      <c r="I24" s="4">
        <f t="shared" si="27"/>
        <v>1957</v>
      </c>
      <c r="J24" s="4">
        <f t="shared" si="27"/>
        <v>1957</v>
      </c>
      <c r="K24" s="4">
        <f t="shared" si="27"/>
        <v>1957</v>
      </c>
      <c r="L24" s="4">
        <f t="shared" si="27"/>
        <v>1957</v>
      </c>
      <c r="M24" s="4">
        <f t="shared" si="27"/>
        <v>1957</v>
      </c>
      <c r="N24" s="4">
        <f t="shared" si="27"/>
        <v>1957</v>
      </c>
      <c r="O24" s="4">
        <f t="shared" si="27"/>
        <v>1957</v>
      </c>
      <c r="P24" s="4">
        <f t="shared" si="27"/>
        <v>1957</v>
      </c>
      <c r="Q24" s="4">
        <f t="shared" si="27"/>
        <v>1957</v>
      </c>
      <c r="R24" s="4">
        <f t="shared" si="27"/>
        <v>1996</v>
      </c>
    </row>
    <row r="26" spans="1:57" ht="18.75" thickBot="1">
      <c r="A26" s="6" t="s">
        <v>80</v>
      </c>
      <c r="B26" s="7"/>
      <c r="C26" s="7"/>
      <c r="D26" s="7"/>
      <c r="E26" s="7"/>
      <c r="F26" s="7"/>
      <c r="G26" s="7"/>
      <c r="H26" s="7"/>
      <c r="I26" s="7"/>
      <c r="J26" s="7"/>
      <c r="K26" s="7"/>
      <c r="L26" s="7"/>
      <c r="M26" s="7"/>
      <c r="N26" s="7"/>
      <c r="O26" s="7"/>
      <c r="P26" s="7"/>
      <c r="Q26" s="7"/>
      <c r="R26" s="7"/>
      <c r="U26" s="5"/>
      <c r="W26" s="4" t="s">
        <v>598</v>
      </c>
      <c r="X26" s="819" t="s">
        <v>81</v>
      </c>
      <c r="Y26" s="115"/>
      <c r="Z26" s="820"/>
      <c r="AB26" s="819" t="s">
        <v>82</v>
      </c>
      <c r="AC26" s="115"/>
      <c r="AD26" s="820"/>
      <c r="AF26" s="821" t="s">
        <v>83</v>
      </c>
      <c r="AG26" s="822"/>
      <c r="AH26" s="820"/>
    </row>
    <row r="27" spans="1:57" ht="18.75">
      <c r="A27" s="21" t="s">
        <v>84</v>
      </c>
      <c r="B27" s="22">
        <f>'GRA 26-60 Matrices'!B99</f>
        <v>0.04</v>
      </c>
      <c r="C27" s="4" t="s">
        <v>85</v>
      </c>
      <c r="E27" s="109">
        <f>'GRA 26-60 Matrices'!E99</f>
        <v>0</v>
      </c>
      <c r="W27" s="4" t="s">
        <v>597</v>
      </c>
      <c r="X27" s="23">
        <f>'GRA 26-60 Matrices'!X88</f>
        <v>12297</v>
      </c>
      <c r="Y27" s="24">
        <f>'GRA 26-60 Matrices'!Y88</f>
        <v>12789</v>
      </c>
      <c r="Z27" s="25">
        <f>'GRA 26-60 Matrices'!Z88</f>
        <v>13301</v>
      </c>
      <c r="AB27" s="23">
        <f>'GRA 26-60 Matrices'!AB88</f>
        <v>27842</v>
      </c>
      <c r="AC27" s="24">
        <f>'GRA 26-60 Matrices'!AC88</f>
        <v>28956</v>
      </c>
      <c r="AD27" s="25">
        <f>'GRA 26-60 Matrices'!AD88</f>
        <v>30114</v>
      </c>
      <c r="AF27" s="26">
        <f>'GRA 26-60 Matrices'!AF88</f>
        <v>2524</v>
      </c>
      <c r="AG27" s="16">
        <f>'GRA 26-60 Matrices'!AG88</f>
        <v>2625</v>
      </c>
      <c r="AH27" s="25">
        <f>'GRA 26-60 Matrices'!AH88</f>
        <v>2730</v>
      </c>
    </row>
    <row r="28" spans="1:57">
      <c r="W28" s="4" t="s">
        <v>596</v>
      </c>
      <c r="X28" s="27">
        <f>'GRA 26-60 Matrices'!X89</f>
        <v>1799.55</v>
      </c>
      <c r="Y28" s="817">
        <f>'GRA 26-60 Matrices'!Y89</f>
        <v>1871.5319999999999</v>
      </c>
      <c r="Z28" s="28">
        <v>0</v>
      </c>
      <c r="AB28" s="27">
        <f>'GRA 26-60 Matrices'!AB89</f>
        <v>1799.55</v>
      </c>
      <c r="AC28" s="817">
        <f>'GRA 26-60 Matrices'!AC89</f>
        <v>1871.5319999999999</v>
      </c>
      <c r="AD28" s="28">
        <v>0</v>
      </c>
      <c r="AF28" s="29"/>
      <c r="AG28" s="30"/>
      <c r="AH28" s="28"/>
    </row>
    <row r="29" spans="1:57" ht="15.75">
      <c r="A29" s="11" t="s">
        <v>86</v>
      </c>
    </row>
    <row r="30" spans="1:57">
      <c r="B30" s="13" t="s">
        <v>54</v>
      </c>
      <c r="W30" s="14"/>
      <c r="X30" s="14"/>
    </row>
    <row r="31" spans="1:57">
      <c r="A31" s="16"/>
      <c r="B31" s="17" t="s">
        <v>58</v>
      </c>
      <c r="C31" s="18">
        <f t="shared" ref="C31:R31" si="28">+C17</f>
        <v>44012</v>
      </c>
      <c r="D31" s="18">
        <f t="shared" si="28"/>
        <v>44027</v>
      </c>
      <c r="E31" s="18">
        <f t="shared" si="28"/>
        <v>44043</v>
      </c>
      <c r="F31" s="18">
        <f t="shared" si="28"/>
        <v>44058</v>
      </c>
      <c r="G31" s="18">
        <f t="shared" si="28"/>
        <v>44074</v>
      </c>
      <c r="H31" s="18">
        <f t="shared" si="28"/>
        <v>44104</v>
      </c>
      <c r="I31" s="18">
        <f t="shared" si="28"/>
        <v>44135</v>
      </c>
      <c r="J31" s="18">
        <f t="shared" si="28"/>
        <v>44165</v>
      </c>
      <c r="K31" s="18">
        <f t="shared" si="28"/>
        <v>44196</v>
      </c>
      <c r="L31" s="18">
        <f t="shared" si="28"/>
        <v>44227</v>
      </c>
      <c r="M31" s="18">
        <f t="shared" si="28"/>
        <v>44255</v>
      </c>
      <c r="N31" s="18">
        <f t="shared" si="28"/>
        <v>44286</v>
      </c>
      <c r="O31" s="18">
        <f t="shared" si="28"/>
        <v>44316</v>
      </c>
      <c r="P31" s="18">
        <f t="shared" si="28"/>
        <v>44331</v>
      </c>
      <c r="Q31" s="18">
        <f t="shared" si="28"/>
        <v>44347</v>
      </c>
      <c r="R31" s="18">
        <f t="shared" si="28"/>
        <v>44362</v>
      </c>
      <c r="W31" s="14"/>
      <c r="X31" s="15"/>
      <c r="Y31" s="19"/>
      <c r="Z31" s="19"/>
      <c r="AA31" s="19"/>
      <c r="AB31" s="19"/>
      <c r="AC31" s="19"/>
      <c r="AD31" s="19"/>
      <c r="AE31" s="19"/>
      <c r="AF31" s="19"/>
      <c r="AG31" s="19"/>
      <c r="AH31" s="19"/>
      <c r="AI31" s="19"/>
      <c r="AJ31" s="19"/>
      <c r="AK31" s="19"/>
      <c r="AL31" s="19"/>
      <c r="AM31" s="19"/>
      <c r="AO31" s="14"/>
      <c r="AP31" s="14"/>
    </row>
    <row r="32" spans="1:57">
      <c r="X32" s="19">
        <f t="shared" ref="X32:AM32" si="29">+C31</f>
        <v>44012</v>
      </c>
      <c r="Y32" s="19">
        <f t="shared" si="29"/>
        <v>44027</v>
      </c>
      <c r="Z32" s="19">
        <f t="shared" si="29"/>
        <v>44043</v>
      </c>
      <c r="AA32" s="19">
        <f t="shared" si="29"/>
        <v>44058</v>
      </c>
      <c r="AB32" s="19">
        <f t="shared" si="29"/>
        <v>44074</v>
      </c>
      <c r="AC32" s="19">
        <f t="shared" si="29"/>
        <v>44104</v>
      </c>
      <c r="AD32" s="19">
        <f t="shared" si="29"/>
        <v>44135</v>
      </c>
      <c r="AE32" s="19">
        <f t="shared" si="29"/>
        <v>44165</v>
      </c>
      <c r="AF32" s="19">
        <f t="shared" si="29"/>
        <v>44196</v>
      </c>
      <c r="AG32" s="19">
        <f t="shared" si="29"/>
        <v>44227</v>
      </c>
      <c r="AH32" s="19">
        <f t="shared" si="29"/>
        <v>44255</v>
      </c>
      <c r="AI32" s="19">
        <f t="shared" si="29"/>
        <v>44286</v>
      </c>
      <c r="AJ32" s="19">
        <f t="shared" si="29"/>
        <v>44316</v>
      </c>
      <c r="AK32" s="19">
        <f t="shared" si="29"/>
        <v>44331</v>
      </c>
      <c r="AL32" s="19">
        <f t="shared" si="29"/>
        <v>44347</v>
      </c>
      <c r="AM32" s="19">
        <f t="shared" si="29"/>
        <v>44362</v>
      </c>
      <c r="AN32" s="110"/>
      <c r="AO32" s="115"/>
      <c r="AP32" s="110">
        <f t="shared" ref="AP32:BE32" si="30">+X32</f>
        <v>44012</v>
      </c>
      <c r="AQ32" s="110">
        <f t="shared" si="30"/>
        <v>44027</v>
      </c>
      <c r="AR32" s="110">
        <f t="shared" si="30"/>
        <v>44043</v>
      </c>
      <c r="AS32" s="110">
        <f t="shared" si="30"/>
        <v>44058</v>
      </c>
      <c r="AT32" s="110">
        <f t="shared" si="30"/>
        <v>44074</v>
      </c>
      <c r="AU32" s="110">
        <f t="shared" si="30"/>
        <v>44104</v>
      </c>
      <c r="AV32" s="110">
        <f t="shared" si="30"/>
        <v>44135</v>
      </c>
      <c r="AW32" s="110">
        <f t="shared" si="30"/>
        <v>44165</v>
      </c>
      <c r="AX32" s="110">
        <f t="shared" si="30"/>
        <v>44196</v>
      </c>
      <c r="AY32" s="110">
        <f t="shared" si="30"/>
        <v>44227</v>
      </c>
      <c r="AZ32" s="110">
        <f t="shared" si="30"/>
        <v>44255</v>
      </c>
      <c r="BA32" s="110">
        <f t="shared" si="30"/>
        <v>44286</v>
      </c>
      <c r="BB32" s="110">
        <f t="shared" si="30"/>
        <v>44316</v>
      </c>
      <c r="BC32" s="110">
        <f t="shared" si="30"/>
        <v>44331</v>
      </c>
      <c r="BD32" s="110">
        <f t="shared" si="30"/>
        <v>44347</v>
      </c>
      <c r="BE32" s="110">
        <f t="shared" si="30"/>
        <v>44362</v>
      </c>
    </row>
    <row r="33" spans="1:57">
      <c r="A33" s="10" t="s">
        <v>87</v>
      </c>
      <c r="B33" s="4">
        <v>12</v>
      </c>
      <c r="C33" s="4">
        <f t="shared" ref="C33:E34" si="31">ROUND((($X$27*(X33/9))+($Y$27*(X41/9))+($Z$27*(X49/9))+($X$28*AP33)+($X$28*AP41)*1),0)</f>
        <v>14097</v>
      </c>
      <c r="D33" s="4">
        <f t="shared" si="31"/>
        <v>14097</v>
      </c>
      <c r="E33" s="4">
        <f t="shared" si="31"/>
        <v>14097</v>
      </c>
      <c r="F33" s="4">
        <f t="shared" ref="F33:R37" si="32">ROUND((($X$27*(AA33/9))+($Y$27*(AA41/9))+($Z$27*(AA49/9))+($X$28*AS33)+($Y$28*AS41)*1),0)</f>
        <v>14169</v>
      </c>
      <c r="G33" s="4">
        <f t="shared" si="32"/>
        <v>14196</v>
      </c>
      <c r="H33" s="4">
        <f t="shared" si="32"/>
        <v>14251</v>
      </c>
      <c r="I33" s="4">
        <f t="shared" si="32"/>
        <v>14305</v>
      </c>
      <c r="J33" s="4">
        <f t="shared" si="32"/>
        <v>14360</v>
      </c>
      <c r="K33" s="4">
        <f t="shared" si="32"/>
        <v>14415</v>
      </c>
      <c r="L33" s="4">
        <f t="shared" si="32"/>
        <v>14469</v>
      </c>
      <c r="M33" s="4">
        <f t="shared" si="32"/>
        <v>14524</v>
      </c>
      <c r="N33" s="4">
        <f t="shared" si="32"/>
        <v>14579</v>
      </c>
      <c r="O33" s="4">
        <f t="shared" si="32"/>
        <v>14633</v>
      </c>
      <c r="P33" s="4">
        <f t="shared" si="32"/>
        <v>14661</v>
      </c>
      <c r="Q33" s="4">
        <f t="shared" si="32"/>
        <v>14661</v>
      </c>
      <c r="R33" s="4">
        <f t="shared" si="32"/>
        <v>14661</v>
      </c>
      <c r="V33" s="4" t="s">
        <v>60</v>
      </c>
      <c r="W33" s="4" t="s">
        <v>61</v>
      </c>
      <c r="X33" s="4">
        <v>9</v>
      </c>
      <c r="Y33" s="4">
        <v>9</v>
      </c>
      <c r="Z33" s="4">
        <v>9</v>
      </c>
      <c r="AA33" s="4">
        <v>9</v>
      </c>
      <c r="AB33" s="4">
        <v>8.5</v>
      </c>
      <c r="AC33" s="4">
        <v>7.5</v>
      </c>
      <c r="AD33" s="4">
        <v>6.5</v>
      </c>
      <c r="AE33" s="4">
        <v>5.5</v>
      </c>
      <c r="AF33" s="4">
        <v>4.5</v>
      </c>
      <c r="AG33" s="4">
        <v>3.5</v>
      </c>
      <c r="AH33" s="4">
        <v>2.5</v>
      </c>
      <c r="AI33" s="4">
        <v>1.5</v>
      </c>
      <c r="AJ33" s="4">
        <v>0.5</v>
      </c>
      <c r="AK33" s="4">
        <v>0</v>
      </c>
      <c r="AL33" s="4">
        <v>0</v>
      </c>
      <c r="AM33" s="4">
        <v>0</v>
      </c>
      <c r="AN33" s="4" t="s">
        <v>60</v>
      </c>
      <c r="AO33" s="4" t="s">
        <v>62</v>
      </c>
      <c r="AP33" s="4">
        <v>0</v>
      </c>
      <c r="AQ33" s="4">
        <v>0</v>
      </c>
      <c r="AR33" s="4">
        <v>0</v>
      </c>
      <c r="AS33" s="4">
        <v>0</v>
      </c>
      <c r="AT33" s="4">
        <v>0</v>
      </c>
      <c r="AU33" s="4">
        <v>0</v>
      </c>
      <c r="AV33" s="4">
        <v>0</v>
      </c>
      <c r="AW33" s="4">
        <v>0</v>
      </c>
      <c r="AX33" s="4">
        <v>0</v>
      </c>
      <c r="AY33" s="4">
        <v>0</v>
      </c>
      <c r="AZ33" s="4">
        <v>0</v>
      </c>
      <c r="BA33" s="4">
        <v>0</v>
      </c>
      <c r="BB33" s="4">
        <v>0</v>
      </c>
      <c r="BC33" s="4">
        <v>0</v>
      </c>
      <c r="BD33" s="4">
        <v>0</v>
      </c>
      <c r="BE33" s="4">
        <v>0</v>
      </c>
    </row>
    <row r="34" spans="1:57">
      <c r="A34" s="10" t="s">
        <v>87</v>
      </c>
      <c r="B34" s="4">
        <v>11</v>
      </c>
      <c r="C34" s="4">
        <f t="shared" si="31"/>
        <v>14097</v>
      </c>
      <c r="D34" s="4">
        <f t="shared" si="31"/>
        <v>14097</v>
      </c>
      <c r="E34" s="4">
        <f t="shared" si="31"/>
        <v>14097</v>
      </c>
      <c r="F34" s="4">
        <f t="shared" si="32"/>
        <v>14169</v>
      </c>
      <c r="G34" s="4">
        <f t="shared" si="32"/>
        <v>14196</v>
      </c>
      <c r="H34" s="4">
        <f t="shared" si="32"/>
        <v>14251</v>
      </c>
      <c r="I34" s="4">
        <f t="shared" si="32"/>
        <v>14305</v>
      </c>
      <c r="J34" s="4">
        <f t="shared" si="32"/>
        <v>14360</v>
      </c>
      <c r="K34" s="4">
        <f t="shared" si="32"/>
        <v>14415</v>
      </c>
      <c r="L34" s="4">
        <f t="shared" si="32"/>
        <v>14469</v>
      </c>
      <c r="M34" s="4">
        <f t="shared" si="32"/>
        <v>14524</v>
      </c>
      <c r="N34" s="4">
        <f t="shared" si="32"/>
        <v>14579</v>
      </c>
      <c r="O34" s="4">
        <f t="shared" si="32"/>
        <v>14633</v>
      </c>
      <c r="P34" s="4">
        <f t="shared" si="32"/>
        <v>14661</v>
      </c>
      <c r="Q34" s="4">
        <f t="shared" si="32"/>
        <v>14661</v>
      </c>
      <c r="R34" s="4">
        <f t="shared" si="32"/>
        <v>14661</v>
      </c>
      <c r="V34" s="4" t="s">
        <v>65</v>
      </c>
      <c r="W34" s="4" t="s">
        <v>66</v>
      </c>
      <c r="X34" s="4">
        <v>9</v>
      </c>
      <c r="Y34" s="4">
        <v>9</v>
      </c>
      <c r="Z34" s="4">
        <v>9</v>
      </c>
      <c r="AA34" s="4">
        <v>9</v>
      </c>
      <c r="AB34" s="4">
        <v>8.5</v>
      </c>
      <c r="AC34" s="4">
        <v>7.5</v>
      </c>
      <c r="AD34" s="4">
        <v>6.5</v>
      </c>
      <c r="AE34" s="4">
        <v>5.5</v>
      </c>
      <c r="AF34" s="4">
        <v>4.5</v>
      </c>
      <c r="AG34" s="4">
        <v>3.5</v>
      </c>
      <c r="AH34" s="4">
        <v>2.5</v>
      </c>
      <c r="AI34" s="4">
        <v>1.5</v>
      </c>
      <c r="AJ34" s="4">
        <v>0.5</v>
      </c>
      <c r="AK34" s="4">
        <v>0</v>
      </c>
      <c r="AL34" s="4">
        <v>0</v>
      </c>
      <c r="AM34" s="4">
        <v>0</v>
      </c>
      <c r="AN34" s="4" t="s">
        <v>65</v>
      </c>
      <c r="AO34" s="4" t="s">
        <v>62</v>
      </c>
      <c r="AP34" s="4">
        <v>0</v>
      </c>
      <c r="AQ34" s="4">
        <v>0</v>
      </c>
      <c r="AR34" s="4">
        <v>0</v>
      </c>
      <c r="AS34" s="4">
        <v>0</v>
      </c>
      <c r="AT34" s="4">
        <v>0</v>
      </c>
      <c r="AU34" s="4">
        <v>0</v>
      </c>
      <c r="AV34" s="4">
        <v>0</v>
      </c>
      <c r="AW34" s="4">
        <v>0</v>
      </c>
      <c r="AX34" s="4">
        <v>0</v>
      </c>
      <c r="AY34" s="4">
        <v>0</v>
      </c>
      <c r="AZ34" s="4">
        <v>0</v>
      </c>
      <c r="BA34" s="4">
        <v>0</v>
      </c>
      <c r="BB34" s="4">
        <v>0</v>
      </c>
      <c r="BC34" s="4">
        <v>0</v>
      </c>
      <c r="BD34" s="4">
        <v>0</v>
      </c>
      <c r="BE34" s="4">
        <v>0</v>
      </c>
    </row>
    <row r="35" spans="1:57">
      <c r="A35" s="10" t="s">
        <v>88</v>
      </c>
      <c r="B35" s="4">
        <v>10</v>
      </c>
      <c r="C35" s="4">
        <f t="shared" ref="C35:E37" si="33">ROUND((($X$27*(X35/9))+($Y$27*(X43/9))+($Z$27*(X51/9))+($X$28*AP35)+($Y$28*AP43)*1),0)</f>
        <v>12297</v>
      </c>
      <c r="D35" s="4">
        <f t="shared" si="33"/>
        <v>12297</v>
      </c>
      <c r="E35" s="4">
        <f t="shared" si="33"/>
        <v>12297</v>
      </c>
      <c r="F35" s="4">
        <f t="shared" si="32"/>
        <v>12297</v>
      </c>
      <c r="G35" s="4">
        <f t="shared" si="32"/>
        <v>12324</v>
      </c>
      <c r="H35" s="4">
        <f t="shared" si="32"/>
        <v>12379</v>
      </c>
      <c r="I35" s="4">
        <f t="shared" si="32"/>
        <v>12434</v>
      </c>
      <c r="J35" s="4">
        <f t="shared" si="32"/>
        <v>12488</v>
      </c>
      <c r="K35" s="4">
        <f t="shared" si="32"/>
        <v>12543</v>
      </c>
      <c r="L35" s="4">
        <f t="shared" si="32"/>
        <v>12598</v>
      </c>
      <c r="M35" s="4">
        <f t="shared" si="32"/>
        <v>12652</v>
      </c>
      <c r="N35" s="4">
        <f t="shared" si="32"/>
        <v>12707</v>
      </c>
      <c r="O35" s="4">
        <f t="shared" si="32"/>
        <v>12762</v>
      </c>
      <c r="P35" s="4">
        <f t="shared" si="32"/>
        <v>12789</v>
      </c>
      <c r="Q35" s="4">
        <f t="shared" si="32"/>
        <v>12789</v>
      </c>
      <c r="R35" s="4">
        <f t="shared" si="32"/>
        <v>12789</v>
      </c>
      <c r="V35" s="4" t="s">
        <v>69</v>
      </c>
      <c r="W35" s="4" t="s">
        <v>66</v>
      </c>
      <c r="X35" s="4">
        <v>9</v>
      </c>
      <c r="Y35" s="4">
        <v>9</v>
      </c>
      <c r="Z35" s="4">
        <v>9</v>
      </c>
      <c r="AA35" s="4">
        <v>9</v>
      </c>
      <c r="AB35" s="4">
        <v>8.5</v>
      </c>
      <c r="AC35" s="4">
        <v>7.5</v>
      </c>
      <c r="AD35" s="4">
        <v>6.5</v>
      </c>
      <c r="AE35" s="4">
        <v>5.5</v>
      </c>
      <c r="AF35" s="4">
        <v>4.5</v>
      </c>
      <c r="AG35" s="4">
        <v>3.5</v>
      </c>
      <c r="AH35" s="4">
        <v>2.5</v>
      </c>
      <c r="AI35" s="4">
        <v>1.5</v>
      </c>
      <c r="AJ35" s="4">
        <v>0.5</v>
      </c>
      <c r="AK35" s="4">
        <v>0</v>
      </c>
      <c r="AL35" s="4">
        <v>0</v>
      </c>
      <c r="AM35" s="4">
        <v>0</v>
      </c>
      <c r="AN35" s="4" t="s">
        <v>69</v>
      </c>
      <c r="AO35" s="4" t="s">
        <v>62</v>
      </c>
      <c r="AP35" s="4">
        <v>0</v>
      </c>
      <c r="AQ35" s="4">
        <v>0</v>
      </c>
      <c r="AR35" s="4">
        <v>0</v>
      </c>
      <c r="AS35" s="4">
        <v>0</v>
      </c>
      <c r="AT35" s="4">
        <v>0</v>
      </c>
      <c r="AU35" s="4">
        <v>0</v>
      </c>
      <c r="AV35" s="4">
        <v>0</v>
      </c>
      <c r="AW35" s="4">
        <v>0</v>
      </c>
      <c r="AX35" s="4">
        <v>0</v>
      </c>
      <c r="AY35" s="4">
        <v>0</v>
      </c>
      <c r="AZ35" s="4">
        <v>0</v>
      </c>
      <c r="BA35" s="4">
        <v>0</v>
      </c>
      <c r="BB35" s="4">
        <v>0</v>
      </c>
      <c r="BC35" s="4">
        <v>0</v>
      </c>
      <c r="BD35" s="4">
        <v>0</v>
      </c>
      <c r="BE35" s="4">
        <v>0</v>
      </c>
    </row>
    <row r="36" spans="1:57">
      <c r="A36" s="10" t="s">
        <v>88</v>
      </c>
      <c r="B36" s="4">
        <v>9</v>
      </c>
      <c r="C36" s="4">
        <f t="shared" si="33"/>
        <v>12297</v>
      </c>
      <c r="D36" s="4">
        <f t="shared" si="33"/>
        <v>12297</v>
      </c>
      <c r="E36" s="4">
        <f t="shared" si="33"/>
        <v>12297</v>
      </c>
      <c r="F36" s="4">
        <f t="shared" si="32"/>
        <v>12297</v>
      </c>
      <c r="G36" s="4">
        <f t="shared" si="32"/>
        <v>12324</v>
      </c>
      <c r="H36" s="4">
        <f t="shared" si="32"/>
        <v>12379</v>
      </c>
      <c r="I36" s="4">
        <f t="shared" si="32"/>
        <v>12434</v>
      </c>
      <c r="J36" s="4">
        <f t="shared" si="32"/>
        <v>12488</v>
      </c>
      <c r="K36" s="4">
        <f t="shared" si="32"/>
        <v>12543</v>
      </c>
      <c r="L36" s="4">
        <f t="shared" si="32"/>
        <v>12598</v>
      </c>
      <c r="M36" s="4">
        <f t="shared" si="32"/>
        <v>12652</v>
      </c>
      <c r="N36" s="4">
        <f t="shared" si="32"/>
        <v>12707</v>
      </c>
      <c r="O36" s="4">
        <f t="shared" si="32"/>
        <v>12762</v>
      </c>
      <c r="P36" s="4">
        <f t="shared" si="32"/>
        <v>12789</v>
      </c>
      <c r="Q36" s="4">
        <f t="shared" si="32"/>
        <v>12789</v>
      </c>
      <c r="R36" s="4">
        <f t="shared" si="32"/>
        <v>12789</v>
      </c>
      <c r="V36" s="4" t="s">
        <v>71</v>
      </c>
      <c r="W36" s="4" t="s">
        <v>66</v>
      </c>
      <c r="X36" s="4">
        <v>9</v>
      </c>
      <c r="Y36" s="4">
        <v>9</v>
      </c>
      <c r="Z36" s="4">
        <v>9</v>
      </c>
      <c r="AA36" s="4">
        <v>9</v>
      </c>
      <c r="AB36" s="4">
        <v>8.5</v>
      </c>
      <c r="AC36" s="4">
        <v>7.5</v>
      </c>
      <c r="AD36" s="4">
        <v>6.5</v>
      </c>
      <c r="AE36" s="4">
        <v>5.5</v>
      </c>
      <c r="AF36" s="4">
        <v>4.5</v>
      </c>
      <c r="AG36" s="4">
        <v>3.5</v>
      </c>
      <c r="AH36" s="4">
        <v>2.5</v>
      </c>
      <c r="AI36" s="4">
        <v>1.5</v>
      </c>
      <c r="AJ36" s="4">
        <v>0.5</v>
      </c>
      <c r="AK36" s="4">
        <v>0</v>
      </c>
      <c r="AL36" s="4">
        <v>0</v>
      </c>
      <c r="AM36" s="4">
        <v>0</v>
      </c>
      <c r="AN36" s="4" t="s">
        <v>71</v>
      </c>
      <c r="AO36" s="4" t="s">
        <v>62</v>
      </c>
      <c r="AP36" s="4">
        <v>0</v>
      </c>
      <c r="AQ36" s="4">
        <v>0</v>
      </c>
      <c r="AR36" s="4">
        <v>0</v>
      </c>
      <c r="AS36" s="4">
        <v>0</v>
      </c>
      <c r="AT36" s="4">
        <v>0</v>
      </c>
      <c r="AU36" s="4">
        <v>0</v>
      </c>
      <c r="AV36" s="4">
        <v>0</v>
      </c>
      <c r="AW36" s="4">
        <v>0</v>
      </c>
      <c r="AX36" s="4">
        <v>0</v>
      </c>
      <c r="AY36" s="4">
        <v>0</v>
      </c>
      <c r="AZ36" s="4">
        <v>0</v>
      </c>
      <c r="BA36" s="4">
        <v>0</v>
      </c>
      <c r="BB36" s="4">
        <v>0</v>
      </c>
      <c r="BC36" s="4">
        <v>0</v>
      </c>
      <c r="BD36" s="4">
        <v>0</v>
      </c>
      <c r="BE36" s="4">
        <v>0</v>
      </c>
    </row>
    <row r="37" spans="1:57">
      <c r="A37" s="10" t="s">
        <v>89</v>
      </c>
      <c r="B37" s="31" t="s">
        <v>90</v>
      </c>
      <c r="C37" s="4">
        <f t="shared" si="33"/>
        <v>1800</v>
      </c>
      <c r="D37" s="4">
        <f t="shared" si="33"/>
        <v>1800</v>
      </c>
      <c r="E37" s="4">
        <f t="shared" si="33"/>
        <v>1800</v>
      </c>
      <c r="F37" s="4">
        <f t="shared" si="32"/>
        <v>1872</v>
      </c>
      <c r="G37" s="4">
        <f t="shared" si="32"/>
        <v>1872</v>
      </c>
      <c r="H37" s="4">
        <f t="shared" si="32"/>
        <v>1872</v>
      </c>
      <c r="I37" s="4">
        <f t="shared" si="32"/>
        <v>1872</v>
      </c>
      <c r="J37" s="4">
        <f t="shared" si="32"/>
        <v>1872</v>
      </c>
      <c r="K37" s="4">
        <f t="shared" si="32"/>
        <v>1872</v>
      </c>
      <c r="L37" s="4">
        <f t="shared" si="32"/>
        <v>1872</v>
      </c>
      <c r="M37" s="4">
        <f t="shared" si="32"/>
        <v>1872</v>
      </c>
      <c r="N37" s="4">
        <f t="shared" si="32"/>
        <v>1872</v>
      </c>
      <c r="O37" s="4">
        <f t="shared" si="32"/>
        <v>1872</v>
      </c>
      <c r="P37" s="4">
        <f t="shared" si="32"/>
        <v>1872</v>
      </c>
      <c r="Q37" s="4">
        <f t="shared" si="32"/>
        <v>1872</v>
      </c>
      <c r="R37" s="4">
        <f t="shared" si="32"/>
        <v>1872</v>
      </c>
      <c r="V37" s="4" t="s">
        <v>73</v>
      </c>
      <c r="W37" s="4" t="s">
        <v>62</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t="s">
        <v>73</v>
      </c>
      <c r="AO37" s="4" t="s">
        <v>91</v>
      </c>
      <c r="AP37" s="4">
        <v>1</v>
      </c>
      <c r="AQ37" s="4">
        <v>1</v>
      </c>
      <c r="AR37" s="4">
        <v>1</v>
      </c>
      <c r="AS37" s="4">
        <v>0</v>
      </c>
      <c r="AT37" s="4">
        <v>0</v>
      </c>
      <c r="AU37" s="4">
        <v>0</v>
      </c>
      <c r="AV37" s="4">
        <v>0</v>
      </c>
      <c r="AW37" s="4">
        <v>0</v>
      </c>
      <c r="AX37" s="4">
        <v>0</v>
      </c>
      <c r="AY37" s="4">
        <v>0</v>
      </c>
      <c r="AZ37" s="4">
        <v>0</v>
      </c>
      <c r="BA37" s="4">
        <v>0</v>
      </c>
      <c r="BB37" s="4">
        <v>0</v>
      </c>
      <c r="BC37" s="4">
        <v>0</v>
      </c>
      <c r="BD37" s="4">
        <v>0</v>
      </c>
      <c r="BE37" s="4">
        <v>0</v>
      </c>
    </row>
    <row r="38" spans="1:57">
      <c r="W38" s="14"/>
      <c r="X38" s="14"/>
    </row>
    <row r="39" spans="1:57" ht="15.75">
      <c r="A39" s="11" t="s">
        <v>92</v>
      </c>
      <c r="X39" s="110">
        <f t="shared" ref="X39:AM39" si="34">+C41</f>
        <v>44012</v>
      </c>
      <c r="Y39" s="110">
        <f t="shared" si="34"/>
        <v>44027</v>
      </c>
      <c r="Z39" s="110">
        <f t="shared" si="34"/>
        <v>44043</v>
      </c>
      <c r="AA39" s="110">
        <f t="shared" si="34"/>
        <v>44058</v>
      </c>
      <c r="AB39" s="110">
        <f t="shared" si="34"/>
        <v>44074</v>
      </c>
      <c r="AC39" s="110">
        <f t="shared" si="34"/>
        <v>44104</v>
      </c>
      <c r="AD39" s="110">
        <f t="shared" si="34"/>
        <v>44135</v>
      </c>
      <c r="AE39" s="110">
        <f t="shared" si="34"/>
        <v>44165</v>
      </c>
      <c r="AF39" s="110">
        <f t="shared" si="34"/>
        <v>44196</v>
      </c>
      <c r="AG39" s="110">
        <f t="shared" si="34"/>
        <v>44227</v>
      </c>
      <c r="AH39" s="110">
        <f t="shared" si="34"/>
        <v>44255</v>
      </c>
      <c r="AI39" s="110">
        <f t="shared" si="34"/>
        <v>44286</v>
      </c>
      <c r="AJ39" s="110">
        <f t="shared" si="34"/>
        <v>44316</v>
      </c>
      <c r="AK39" s="110">
        <f t="shared" si="34"/>
        <v>44331</v>
      </c>
      <c r="AL39" s="110">
        <f t="shared" si="34"/>
        <v>44347</v>
      </c>
      <c r="AM39" s="110">
        <f t="shared" si="34"/>
        <v>44362</v>
      </c>
      <c r="AN39" s="110"/>
      <c r="AO39" s="115"/>
      <c r="AP39" s="110">
        <f t="shared" ref="AP39:BE39" si="35">+X39</f>
        <v>44012</v>
      </c>
      <c r="AQ39" s="110">
        <f t="shared" si="35"/>
        <v>44027</v>
      </c>
      <c r="AR39" s="110">
        <f t="shared" si="35"/>
        <v>44043</v>
      </c>
      <c r="AS39" s="110">
        <f t="shared" si="35"/>
        <v>44058</v>
      </c>
      <c r="AT39" s="110">
        <f t="shared" si="35"/>
        <v>44074</v>
      </c>
      <c r="AU39" s="110">
        <f t="shared" si="35"/>
        <v>44104</v>
      </c>
      <c r="AV39" s="110">
        <f t="shared" si="35"/>
        <v>44135</v>
      </c>
      <c r="AW39" s="110">
        <f t="shared" si="35"/>
        <v>44165</v>
      </c>
      <c r="AX39" s="110">
        <f t="shared" si="35"/>
        <v>44196</v>
      </c>
      <c r="AY39" s="110">
        <f t="shared" si="35"/>
        <v>44227</v>
      </c>
      <c r="AZ39" s="110">
        <f t="shared" si="35"/>
        <v>44255</v>
      </c>
      <c r="BA39" s="110">
        <f t="shared" si="35"/>
        <v>44286</v>
      </c>
      <c r="BB39" s="110">
        <f t="shared" si="35"/>
        <v>44316</v>
      </c>
      <c r="BC39" s="110">
        <f t="shared" si="35"/>
        <v>44331</v>
      </c>
      <c r="BD39" s="110">
        <f t="shared" si="35"/>
        <v>44347</v>
      </c>
      <c r="BE39" s="110">
        <f t="shared" si="35"/>
        <v>44362</v>
      </c>
    </row>
    <row r="40" spans="1:57">
      <c r="B40" s="13" t="s">
        <v>54</v>
      </c>
      <c r="X40" s="20"/>
      <c r="Y40" s="20"/>
      <c r="Z40" s="20"/>
      <c r="AA40" s="20"/>
      <c r="AB40" s="20"/>
      <c r="AC40" s="20"/>
      <c r="AD40" s="20"/>
      <c r="AE40" s="20"/>
      <c r="AF40" s="20"/>
      <c r="AG40" s="20"/>
      <c r="AH40" s="20"/>
      <c r="AI40" s="20"/>
      <c r="AJ40" s="20"/>
      <c r="AK40" s="20"/>
      <c r="AL40" s="20"/>
      <c r="AM40" s="20"/>
      <c r="AN40" s="20"/>
      <c r="AP40" s="20"/>
      <c r="AQ40" s="20"/>
      <c r="AR40" s="20"/>
      <c r="AS40" s="20"/>
      <c r="AT40" s="20"/>
      <c r="AU40" s="20"/>
      <c r="AV40" s="20"/>
      <c r="AW40" s="20"/>
      <c r="AX40" s="20"/>
      <c r="AY40" s="20"/>
      <c r="AZ40" s="20"/>
      <c r="BA40" s="20"/>
      <c r="BB40" s="20"/>
      <c r="BC40" s="20"/>
      <c r="BD40" s="20"/>
      <c r="BE40" s="20"/>
    </row>
    <row r="41" spans="1:57">
      <c r="A41" s="16"/>
      <c r="B41" s="17" t="s">
        <v>58</v>
      </c>
      <c r="C41" s="18">
        <f t="shared" ref="C41:R41" si="36">+C31</f>
        <v>44012</v>
      </c>
      <c r="D41" s="18">
        <f t="shared" si="36"/>
        <v>44027</v>
      </c>
      <c r="E41" s="18">
        <f t="shared" si="36"/>
        <v>44043</v>
      </c>
      <c r="F41" s="18">
        <f t="shared" si="36"/>
        <v>44058</v>
      </c>
      <c r="G41" s="18">
        <f t="shared" si="36"/>
        <v>44074</v>
      </c>
      <c r="H41" s="18">
        <f t="shared" si="36"/>
        <v>44104</v>
      </c>
      <c r="I41" s="18">
        <f t="shared" si="36"/>
        <v>44135</v>
      </c>
      <c r="J41" s="18">
        <f t="shared" si="36"/>
        <v>44165</v>
      </c>
      <c r="K41" s="18">
        <f t="shared" si="36"/>
        <v>44196</v>
      </c>
      <c r="L41" s="18">
        <f t="shared" si="36"/>
        <v>44227</v>
      </c>
      <c r="M41" s="18">
        <f t="shared" si="36"/>
        <v>44255</v>
      </c>
      <c r="N41" s="18">
        <f t="shared" si="36"/>
        <v>44286</v>
      </c>
      <c r="O41" s="18">
        <f t="shared" si="36"/>
        <v>44316</v>
      </c>
      <c r="P41" s="18">
        <f t="shared" si="36"/>
        <v>44331</v>
      </c>
      <c r="Q41" s="18">
        <f t="shared" si="36"/>
        <v>44347</v>
      </c>
      <c r="R41" s="18">
        <f t="shared" si="36"/>
        <v>44362</v>
      </c>
      <c r="V41" s="4" t="s">
        <v>60</v>
      </c>
      <c r="W41" s="4" t="s">
        <v>67</v>
      </c>
      <c r="X41" s="4">
        <f t="shared" ref="X41:AI44" si="37">9-X33</f>
        <v>0</v>
      </c>
      <c r="Y41" s="4">
        <f t="shared" si="37"/>
        <v>0</v>
      </c>
      <c r="Z41" s="4">
        <f t="shared" si="37"/>
        <v>0</v>
      </c>
      <c r="AA41" s="4">
        <f t="shared" si="37"/>
        <v>0</v>
      </c>
      <c r="AB41" s="4">
        <f t="shared" si="37"/>
        <v>0.5</v>
      </c>
      <c r="AC41" s="4">
        <f t="shared" si="37"/>
        <v>1.5</v>
      </c>
      <c r="AD41" s="4">
        <f t="shared" si="37"/>
        <v>2.5</v>
      </c>
      <c r="AE41" s="4">
        <f t="shared" si="37"/>
        <v>3.5</v>
      </c>
      <c r="AF41" s="4">
        <f t="shared" si="37"/>
        <v>4.5</v>
      </c>
      <c r="AG41" s="4">
        <f t="shared" si="37"/>
        <v>5.5</v>
      </c>
      <c r="AH41" s="4">
        <f t="shared" si="37"/>
        <v>6.5</v>
      </c>
      <c r="AI41" s="4">
        <f t="shared" si="37"/>
        <v>7.5</v>
      </c>
      <c r="AJ41" s="4">
        <v>8.5</v>
      </c>
      <c r="AK41" s="4">
        <v>9</v>
      </c>
      <c r="AL41" s="4">
        <v>9</v>
      </c>
      <c r="AM41" s="4">
        <v>9</v>
      </c>
      <c r="AN41" s="4" t="s">
        <v>60</v>
      </c>
      <c r="AO41" s="4" t="s">
        <v>74</v>
      </c>
      <c r="AP41" s="4">
        <f t="shared" ref="AP41:BE42" si="38">1-AP33</f>
        <v>1</v>
      </c>
      <c r="AQ41" s="4">
        <f t="shared" si="38"/>
        <v>1</v>
      </c>
      <c r="AR41" s="4">
        <f t="shared" si="38"/>
        <v>1</v>
      </c>
      <c r="AS41" s="4">
        <f t="shared" si="38"/>
        <v>1</v>
      </c>
      <c r="AT41" s="4">
        <f t="shared" si="38"/>
        <v>1</v>
      </c>
      <c r="AU41" s="4">
        <f t="shared" si="38"/>
        <v>1</v>
      </c>
      <c r="AV41" s="4">
        <f t="shared" si="38"/>
        <v>1</v>
      </c>
      <c r="AW41" s="4">
        <f t="shared" si="38"/>
        <v>1</v>
      </c>
      <c r="AX41" s="4">
        <f t="shared" si="38"/>
        <v>1</v>
      </c>
      <c r="AY41" s="4">
        <f t="shared" si="38"/>
        <v>1</v>
      </c>
      <c r="AZ41" s="4">
        <f t="shared" si="38"/>
        <v>1</v>
      </c>
      <c r="BA41" s="4">
        <f t="shared" si="38"/>
        <v>1</v>
      </c>
      <c r="BB41" s="4">
        <f t="shared" si="38"/>
        <v>1</v>
      </c>
      <c r="BC41" s="4">
        <f t="shared" si="38"/>
        <v>1</v>
      </c>
      <c r="BD41" s="4">
        <f t="shared" si="38"/>
        <v>1</v>
      </c>
      <c r="BE41" s="4">
        <f t="shared" si="38"/>
        <v>1</v>
      </c>
    </row>
    <row r="42" spans="1:57">
      <c r="V42" s="4" t="s">
        <v>65</v>
      </c>
      <c r="W42" s="4" t="s">
        <v>67</v>
      </c>
      <c r="X42" s="4">
        <f t="shared" si="37"/>
        <v>0</v>
      </c>
      <c r="Y42" s="4">
        <f t="shared" si="37"/>
        <v>0</v>
      </c>
      <c r="Z42" s="4">
        <f t="shared" si="37"/>
        <v>0</v>
      </c>
      <c r="AA42" s="4">
        <f t="shared" si="37"/>
        <v>0</v>
      </c>
      <c r="AB42" s="4">
        <f t="shared" si="37"/>
        <v>0.5</v>
      </c>
      <c r="AC42" s="4">
        <f t="shared" si="37"/>
        <v>1.5</v>
      </c>
      <c r="AD42" s="4">
        <f t="shared" si="37"/>
        <v>2.5</v>
      </c>
      <c r="AE42" s="4">
        <f t="shared" si="37"/>
        <v>3.5</v>
      </c>
      <c r="AF42" s="4">
        <f t="shared" si="37"/>
        <v>4.5</v>
      </c>
      <c r="AG42" s="4">
        <f t="shared" si="37"/>
        <v>5.5</v>
      </c>
      <c r="AH42" s="4">
        <f t="shared" si="37"/>
        <v>6.5</v>
      </c>
      <c r="AI42" s="4">
        <f t="shared" si="37"/>
        <v>7.5</v>
      </c>
      <c r="AJ42" s="4">
        <v>8.5</v>
      </c>
      <c r="AK42" s="4">
        <v>9</v>
      </c>
      <c r="AL42" s="4">
        <v>9</v>
      </c>
      <c r="AM42" s="4">
        <v>9</v>
      </c>
      <c r="AN42" s="4" t="s">
        <v>65</v>
      </c>
      <c r="AO42" s="4" t="s">
        <v>74</v>
      </c>
      <c r="AP42" s="4">
        <f t="shared" si="38"/>
        <v>1</v>
      </c>
      <c r="AQ42" s="4">
        <f t="shared" si="38"/>
        <v>1</v>
      </c>
      <c r="AR42" s="4">
        <f t="shared" si="38"/>
        <v>1</v>
      </c>
      <c r="AS42" s="4">
        <f t="shared" si="38"/>
        <v>1</v>
      </c>
      <c r="AT42" s="4">
        <f t="shared" si="38"/>
        <v>1</v>
      </c>
      <c r="AU42" s="4">
        <f t="shared" si="38"/>
        <v>1</v>
      </c>
      <c r="AV42" s="4">
        <f t="shared" si="38"/>
        <v>1</v>
      </c>
      <c r="AW42" s="4">
        <f t="shared" si="38"/>
        <v>1</v>
      </c>
      <c r="AX42" s="4">
        <f t="shared" si="38"/>
        <v>1</v>
      </c>
      <c r="AY42" s="4">
        <f t="shared" si="38"/>
        <v>1</v>
      </c>
      <c r="AZ42" s="4">
        <f t="shared" si="38"/>
        <v>1</v>
      </c>
      <c r="BA42" s="4">
        <f t="shared" si="38"/>
        <v>1</v>
      </c>
      <c r="BB42" s="4">
        <f t="shared" si="38"/>
        <v>1</v>
      </c>
      <c r="BC42" s="4">
        <f t="shared" si="38"/>
        <v>1</v>
      </c>
      <c r="BD42" s="4">
        <f t="shared" si="38"/>
        <v>1</v>
      </c>
      <c r="BE42" s="4">
        <f t="shared" si="38"/>
        <v>1</v>
      </c>
    </row>
    <row r="43" spans="1:57">
      <c r="A43" s="10" t="s">
        <v>87</v>
      </c>
      <c r="B43" s="4">
        <v>12</v>
      </c>
      <c r="C43" s="4">
        <f t="shared" ref="C43:E44" si="39">ROUND((($AB$27*(X33/9))+($AC$27*(X41/9))+($AD$27*(X49/9))+($AB$28*AP33)+($AB$28*AP41)*1),0)</f>
        <v>29642</v>
      </c>
      <c r="D43" s="4">
        <f t="shared" si="39"/>
        <v>29642</v>
      </c>
      <c r="E43" s="4">
        <f t="shared" si="39"/>
        <v>29642</v>
      </c>
      <c r="F43" s="4">
        <f t="shared" ref="F43:R47" si="40">ROUND((($AB$27*(AA33/9))+($AC$27*(AA41/9))+($AD$27*(AA49/9))+($AB$28*AS33)+($AC$28*AS41)*1),0)</f>
        <v>29714</v>
      </c>
      <c r="G43" s="4">
        <f t="shared" si="40"/>
        <v>29775</v>
      </c>
      <c r="H43" s="4">
        <f t="shared" si="40"/>
        <v>29899</v>
      </c>
      <c r="I43" s="4">
        <f t="shared" si="40"/>
        <v>30023</v>
      </c>
      <c r="J43" s="4">
        <f t="shared" si="40"/>
        <v>30147</v>
      </c>
      <c r="K43" s="4">
        <f t="shared" si="40"/>
        <v>30271</v>
      </c>
      <c r="L43" s="4">
        <f t="shared" si="40"/>
        <v>30394</v>
      </c>
      <c r="M43" s="4">
        <f t="shared" si="40"/>
        <v>30518</v>
      </c>
      <c r="N43" s="4">
        <f t="shared" si="40"/>
        <v>30642</v>
      </c>
      <c r="O43" s="4">
        <f t="shared" si="40"/>
        <v>30766</v>
      </c>
      <c r="P43" s="4">
        <f t="shared" si="40"/>
        <v>30828</v>
      </c>
      <c r="Q43" s="4">
        <f t="shared" si="40"/>
        <v>30828</v>
      </c>
      <c r="R43" s="4">
        <f t="shared" si="40"/>
        <v>30828</v>
      </c>
      <c r="V43" s="4" t="s">
        <v>69</v>
      </c>
      <c r="W43" s="4" t="s">
        <v>67</v>
      </c>
      <c r="X43" s="4">
        <f t="shared" si="37"/>
        <v>0</v>
      </c>
      <c r="Y43" s="4">
        <f t="shared" si="37"/>
        <v>0</v>
      </c>
      <c r="Z43" s="4">
        <f t="shared" si="37"/>
        <v>0</v>
      </c>
      <c r="AA43" s="4">
        <f t="shared" si="37"/>
        <v>0</v>
      </c>
      <c r="AB43" s="4">
        <f t="shared" si="37"/>
        <v>0.5</v>
      </c>
      <c r="AC43" s="4">
        <f t="shared" si="37"/>
        <v>1.5</v>
      </c>
      <c r="AD43" s="4">
        <f t="shared" si="37"/>
        <v>2.5</v>
      </c>
      <c r="AE43" s="4">
        <f t="shared" si="37"/>
        <v>3.5</v>
      </c>
      <c r="AF43" s="4">
        <f t="shared" si="37"/>
        <v>4.5</v>
      </c>
      <c r="AG43" s="4">
        <f t="shared" si="37"/>
        <v>5.5</v>
      </c>
      <c r="AH43" s="4">
        <f t="shared" si="37"/>
        <v>6.5</v>
      </c>
      <c r="AI43" s="4">
        <f t="shared" si="37"/>
        <v>7.5</v>
      </c>
      <c r="AJ43" s="4">
        <v>8.5</v>
      </c>
      <c r="AK43" s="4">
        <v>9</v>
      </c>
      <c r="AL43" s="4">
        <v>9</v>
      </c>
      <c r="AM43" s="4">
        <v>9</v>
      </c>
      <c r="AN43" s="4" t="s">
        <v>69</v>
      </c>
      <c r="AO43" s="4" t="s">
        <v>74</v>
      </c>
      <c r="AP43" s="4">
        <v>0</v>
      </c>
      <c r="AQ43" s="4">
        <v>0</v>
      </c>
      <c r="AR43" s="4">
        <v>0</v>
      </c>
      <c r="AS43" s="4">
        <v>0</v>
      </c>
      <c r="AT43" s="4">
        <v>0</v>
      </c>
      <c r="AU43" s="4">
        <v>0</v>
      </c>
      <c r="AV43" s="4">
        <v>0</v>
      </c>
      <c r="AW43" s="4">
        <v>0</v>
      </c>
      <c r="AX43" s="4">
        <v>0</v>
      </c>
      <c r="AY43" s="4">
        <v>0</v>
      </c>
      <c r="AZ43" s="4">
        <v>0</v>
      </c>
      <c r="BA43" s="4">
        <v>0</v>
      </c>
      <c r="BB43" s="4">
        <v>0</v>
      </c>
      <c r="BC43" s="4">
        <v>0</v>
      </c>
      <c r="BD43" s="4">
        <v>0</v>
      </c>
      <c r="BE43" s="4">
        <v>0</v>
      </c>
    </row>
    <row r="44" spans="1:57">
      <c r="A44" s="10" t="s">
        <v>87</v>
      </c>
      <c r="B44" s="4">
        <v>11</v>
      </c>
      <c r="C44" s="4">
        <f t="shared" si="39"/>
        <v>29642</v>
      </c>
      <c r="D44" s="4">
        <f t="shared" si="39"/>
        <v>29642</v>
      </c>
      <c r="E44" s="4">
        <f t="shared" si="39"/>
        <v>29642</v>
      </c>
      <c r="F44" s="4">
        <f t="shared" si="40"/>
        <v>29714</v>
      </c>
      <c r="G44" s="4">
        <f t="shared" si="40"/>
        <v>29775</v>
      </c>
      <c r="H44" s="4">
        <f t="shared" si="40"/>
        <v>29899</v>
      </c>
      <c r="I44" s="4">
        <f t="shared" si="40"/>
        <v>30023</v>
      </c>
      <c r="J44" s="4">
        <f t="shared" si="40"/>
        <v>30147</v>
      </c>
      <c r="K44" s="4">
        <f t="shared" si="40"/>
        <v>30271</v>
      </c>
      <c r="L44" s="4">
        <f t="shared" si="40"/>
        <v>30394</v>
      </c>
      <c r="M44" s="4">
        <f t="shared" si="40"/>
        <v>30518</v>
      </c>
      <c r="N44" s="4">
        <f t="shared" si="40"/>
        <v>30642</v>
      </c>
      <c r="O44" s="4">
        <f t="shared" si="40"/>
        <v>30766</v>
      </c>
      <c r="P44" s="4">
        <f t="shared" si="40"/>
        <v>30828</v>
      </c>
      <c r="Q44" s="4">
        <f t="shared" si="40"/>
        <v>30828</v>
      </c>
      <c r="R44" s="4">
        <f t="shared" si="40"/>
        <v>30828</v>
      </c>
      <c r="V44" s="4" t="s">
        <v>71</v>
      </c>
      <c r="W44" s="4" t="s">
        <v>93</v>
      </c>
      <c r="X44" s="4">
        <f t="shared" si="37"/>
        <v>0</v>
      </c>
      <c r="Y44" s="4">
        <f t="shared" si="37"/>
        <v>0</v>
      </c>
      <c r="Z44" s="4">
        <f t="shared" si="37"/>
        <v>0</v>
      </c>
      <c r="AA44" s="4">
        <f t="shared" si="37"/>
        <v>0</v>
      </c>
      <c r="AB44" s="4">
        <f t="shared" si="37"/>
        <v>0.5</v>
      </c>
      <c r="AC44" s="4">
        <f t="shared" si="37"/>
        <v>1.5</v>
      </c>
      <c r="AD44" s="4">
        <f t="shared" si="37"/>
        <v>2.5</v>
      </c>
      <c r="AE44" s="4">
        <f t="shared" si="37"/>
        <v>3.5</v>
      </c>
      <c r="AF44" s="4">
        <f t="shared" si="37"/>
        <v>4.5</v>
      </c>
      <c r="AG44" s="4">
        <f t="shared" si="37"/>
        <v>5.5</v>
      </c>
      <c r="AH44" s="4">
        <f t="shared" si="37"/>
        <v>6.5</v>
      </c>
      <c r="AI44" s="4">
        <f t="shared" si="37"/>
        <v>7.5</v>
      </c>
      <c r="AJ44" s="4">
        <v>8.5</v>
      </c>
      <c r="AK44" s="4">
        <v>9</v>
      </c>
      <c r="AL44" s="4">
        <v>9</v>
      </c>
      <c r="AM44" s="4">
        <v>9</v>
      </c>
      <c r="AN44" s="4" t="s">
        <v>71</v>
      </c>
      <c r="AO44" s="4" t="s">
        <v>74</v>
      </c>
      <c r="AP44" s="4">
        <v>0</v>
      </c>
      <c r="AQ44" s="4">
        <v>0</v>
      </c>
      <c r="AR44" s="4">
        <v>0</v>
      </c>
      <c r="AS44" s="4">
        <v>0</v>
      </c>
      <c r="AT44" s="4">
        <v>0</v>
      </c>
      <c r="AU44" s="4">
        <v>0</v>
      </c>
      <c r="AV44" s="4">
        <v>0</v>
      </c>
      <c r="AW44" s="4">
        <v>0</v>
      </c>
      <c r="AX44" s="4">
        <v>0</v>
      </c>
      <c r="AY44" s="4">
        <v>0</v>
      </c>
      <c r="AZ44" s="4">
        <v>0</v>
      </c>
      <c r="BA44" s="4">
        <v>0</v>
      </c>
      <c r="BB44" s="4">
        <v>0</v>
      </c>
      <c r="BC44" s="4">
        <v>0</v>
      </c>
      <c r="BD44" s="4">
        <v>0</v>
      </c>
      <c r="BE44" s="4">
        <v>0</v>
      </c>
    </row>
    <row r="45" spans="1:57">
      <c r="A45" s="10" t="s">
        <v>88</v>
      </c>
      <c r="B45" s="4">
        <v>10</v>
      </c>
      <c r="C45" s="4">
        <f t="shared" ref="C45:E47" si="41">ROUND((($AB$27*(X35/9))+($AC$27*(X43/9))+($AD$27*(X51/9))+($AB$28*AP35)+($AC$28*AP43)*1),0)</f>
        <v>27842</v>
      </c>
      <c r="D45" s="4">
        <f t="shared" si="41"/>
        <v>27842</v>
      </c>
      <c r="E45" s="4">
        <f t="shared" si="41"/>
        <v>27842</v>
      </c>
      <c r="F45" s="4">
        <f t="shared" si="40"/>
        <v>27842</v>
      </c>
      <c r="G45" s="4">
        <f t="shared" si="40"/>
        <v>27904</v>
      </c>
      <c r="H45" s="4">
        <f t="shared" si="40"/>
        <v>28028</v>
      </c>
      <c r="I45" s="4">
        <f t="shared" si="40"/>
        <v>28151</v>
      </c>
      <c r="J45" s="4">
        <f t="shared" si="40"/>
        <v>28275</v>
      </c>
      <c r="K45" s="4">
        <f t="shared" si="40"/>
        <v>28399</v>
      </c>
      <c r="L45" s="4">
        <f t="shared" si="40"/>
        <v>28523</v>
      </c>
      <c r="M45" s="4">
        <f t="shared" si="40"/>
        <v>28647</v>
      </c>
      <c r="N45" s="4">
        <f t="shared" si="40"/>
        <v>28770</v>
      </c>
      <c r="O45" s="4">
        <f t="shared" si="40"/>
        <v>28894</v>
      </c>
      <c r="P45" s="4">
        <f t="shared" si="40"/>
        <v>28956</v>
      </c>
      <c r="Q45" s="4">
        <f t="shared" si="40"/>
        <v>28956</v>
      </c>
      <c r="R45" s="4">
        <f t="shared" si="40"/>
        <v>28956</v>
      </c>
      <c r="V45" s="4" t="s">
        <v>73</v>
      </c>
      <c r="W45" s="4" t="s">
        <v>74</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t="s">
        <v>94</v>
      </c>
      <c r="AO45" s="4" t="s">
        <v>74</v>
      </c>
      <c r="AP45" s="4">
        <v>0</v>
      </c>
      <c r="AQ45" s="4">
        <v>0</v>
      </c>
      <c r="AR45" s="4">
        <v>0</v>
      </c>
      <c r="AS45" s="4">
        <v>1</v>
      </c>
      <c r="AT45" s="4">
        <v>1</v>
      </c>
      <c r="AU45" s="4">
        <v>1</v>
      </c>
      <c r="AV45" s="4">
        <v>1</v>
      </c>
      <c r="AW45" s="4">
        <v>1</v>
      </c>
      <c r="AX45" s="4">
        <v>1</v>
      </c>
      <c r="AY45" s="4">
        <v>1</v>
      </c>
      <c r="AZ45" s="4">
        <v>1</v>
      </c>
      <c r="BA45" s="4">
        <v>1</v>
      </c>
      <c r="BB45" s="4">
        <v>1</v>
      </c>
      <c r="BC45" s="4">
        <v>1</v>
      </c>
      <c r="BD45" s="4">
        <v>1</v>
      </c>
      <c r="BE45" s="4">
        <v>1</v>
      </c>
    </row>
    <row r="46" spans="1:57">
      <c r="A46" s="10" t="s">
        <v>88</v>
      </c>
      <c r="B46" s="4">
        <v>9</v>
      </c>
      <c r="C46" s="4">
        <f t="shared" si="41"/>
        <v>27842</v>
      </c>
      <c r="D46" s="4">
        <f t="shared" si="41"/>
        <v>27842</v>
      </c>
      <c r="E46" s="4">
        <f t="shared" si="41"/>
        <v>27842</v>
      </c>
      <c r="F46" s="4">
        <f t="shared" si="40"/>
        <v>27842</v>
      </c>
      <c r="G46" s="4">
        <f t="shared" si="40"/>
        <v>27904</v>
      </c>
      <c r="H46" s="4">
        <f t="shared" si="40"/>
        <v>28028</v>
      </c>
      <c r="I46" s="4">
        <f t="shared" si="40"/>
        <v>28151</v>
      </c>
      <c r="J46" s="4">
        <f t="shared" si="40"/>
        <v>28275</v>
      </c>
      <c r="K46" s="4">
        <f t="shared" si="40"/>
        <v>28399</v>
      </c>
      <c r="L46" s="4">
        <f t="shared" si="40"/>
        <v>28523</v>
      </c>
      <c r="M46" s="4">
        <f t="shared" si="40"/>
        <v>28647</v>
      </c>
      <c r="N46" s="4">
        <f t="shared" si="40"/>
        <v>28770</v>
      </c>
      <c r="O46" s="4">
        <f t="shared" si="40"/>
        <v>28894</v>
      </c>
      <c r="P46" s="4">
        <f t="shared" si="40"/>
        <v>28956</v>
      </c>
      <c r="Q46" s="4">
        <f t="shared" si="40"/>
        <v>28956</v>
      </c>
      <c r="R46" s="4">
        <f t="shared" si="40"/>
        <v>28956</v>
      </c>
      <c r="W46" s="14" t="s">
        <v>95</v>
      </c>
      <c r="X46" s="14"/>
    </row>
    <row r="47" spans="1:57">
      <c r="A47" s="10" t="s">
        <v>89</v>
      </c>
      <c r="B47" s="31" t="s">
        <v>90</v>
      </c>
      <c r="C47" s="4">
        <f t="shared" si="41"/>
        <v>1800</v>
      </c>
      <c r="D47" s="4">
        <f t="shared" si="41"/>
        <v>1800</v>
      </c>
      <c r="E47" s="4">
        <f t="shared" si="41"/>
        <v>1800</v>
      </c>
      <c r="F47" s="4">
        <f t="shared" si="40"/>
        <v>1872</v>
      </c>
      <c r="G47" s="4">
        <f t="shared" si="40"/>
        <v>1872</v>
      </c>
      <c r="H47" s="4">
        <f t="shared" si="40"/>
        <v>1872</v>
      </c>
      <c r="I47" s="4">
        <f t="shared" si="40"/>
        <v>1872</v>
      </c>
      <c r="J47" s="4">
        <f t="shared" si="40"/>
        <v>1872</v>
      </c>
      <c r="K47" s="4">
        <f t="shared" si="40"/>
        <v>1872</v>
      </c>
      <c r="L47" s="4">
        <f t="shared" si="40"/>
        <v>1872</v>
      </c>
      <c r="M47" s="4">
        <f t="shared" si="40"/>
        <v>1872</v>
      </c>
      <c r="N47" s="4">
        <f t="shared" si="40"/>
        <v>1872</v>
      </c>
      <c r="O47" s="4">
        <f t="shared" si="40"/>
        <v>1872</v>
      </c>
      <c r="P47" s="4">
        <f t="shared" si="40"/>
        <v>1872</v>
      </c>
      <c r="Q47" s="4">
        <f t="shared" si="40"/>
        <v>1872</v>
      </c>
      <c r="R47" s="4">
        <f t="shared" si="40"/>
        <v>1872</v>
      </c>
      <c r="W47" s="14"/>
      <c r="X47" s="14"/>
    </row>
    <row r="48" spans="1:57">
      <c r="X48" s="110">
        <f t="shared" ref="X48:AM48" si="42">+C52</f>
        <v>44012</v>
      </c>
      <c r="Y48" s="110">
        <f t="shared" si="42"/>
        <v>44027</v>
      </c>
      <c r="Z48" s="110">
        <f t="shared" si="42"/>
        <v>44043</v>
      </c>
      <c r="AA48" s="110">
        <f t="shared" si="42"/>
        <v>44058</v>
      </c>
      <c r="AB48" s="110">
        <f t="shared" si="42"/>
        <v>44074</v>
      </c>
      <c r="AC48" s="110">
        <f t="shared" si="42"/>
        <v>44104</v>
      </c>
      <c r="AD48" s="110">
        <f t="shared" si="42"/>
        <v>44135</v>
      </c>
      <c r="AE48" s="110">
        <f t="shared" si="42"/>
        <v>44165</v>
      </c>
      <c r="AF48" s="110">
        <f t="shared" si="42"/>
        <v>44196</v>
      </c>
      <c r="AG48" s="110">
        <f t="shared" si="42"/>
        <v>44227</v>
      </c>
      <c r="AH48" s="110">
        <f t="shared" si="42"/>
        <v>44255</v>
      </c>
      <c r="AI48" s="110">
        <f t="shared" si="42"/>
        <v>44286</v>
      </c>
      <c r="AJ48" s="110">
        <f t="shared" si="42"/>
        <v>44316</v>
      </c>
      <c r="AK48" s="110">
        <f t="shared" si="42"/>
        <v>44331</v>
      </c>
      <c r="AL48" s="110">
        <f t="shared" si="42"/>
        <v>44347</v>
      </c>
      <c r="AM48" s="110">
        <f t="shared" si="42"/>
        <v>44362</v>
      </c>
    </row>
    <row r="49" spans="1:39" ht="18.75" thickBot="1">
      <c r="A49" s="6" t="s">
        <v>96</v>
      </c>
      <c r="B49" s="7"/>
      <c r="C49" s="7"/>
      <c r="D49" s="7"/>
      <c r="E49" s="7"/>
      <c r="F49" s="7"/>
      <c r="G49" s="7"/>
      <c r="H49" s="7"/>
      <c r="I49" s="7"/>
      <c r="J49" s="7"/>
      <c r="K49" s="7"/>
      <c r="L49" s="7"/>
      <c r="M49" s="7"/>
      <c r="N49" s="7"/>
      <c r="O49" s="7"/>
      <c r="P49" s="7"/>
      <c r="Q49" s="7"/>
      <c r="R49" s="7"/>
      <c r="V49" s="4" t="s">
        <v>60</v>
      </c>
      <c r="W49" s="4" t="s">
        <v>61</v>
      </c>
      <c r="X49" s="4">
        <f t="shared" ref="X49:AM52" si="43">9-(X41+X33)</f>
        <v>0</v>
      </c>
      <c r="Y49" s="4">
        <f t="shared" si="43"/>
        <v>0</v>
      </c>
      <c r="Z49" s="4">
        <f t="shared" si="43"/>
        <v>0</v>
      </c>
      <c r="AA49" s="4">
        <f t="shared" si="43"/>
        <v>0</v>
      </c>
      <c r="AB49" s="4">
        <f t="shared" si="43"/>
        <v>0</v>
      </c>
      <c r="AC49" s="4">
        <f t="shared" si="43"/>
        <v>0</v>
      </c>
      <c r="AD49" s="4">
        <f t="shared" si="43"/>
        <v>0</v>
      </c>
      <c r="AE49" s="4">
        <f t="shared" si="43"/>
        <v>0</v>
      </c>
      <c r="AF49" s="4">
        <f t="shared" si="43"/>
        <v>0</v>
      </c>
      <c r="AG49" s="4">
        <f t="shared" si="43"/>
        <v>0</v>
      </c>
      <c r="AH49" s="4">
        <f t="shared" si="43"/>
        <v>0</v>
      </c>
      <c r="AI49" s="4">
        <f t="shared" si="43"/>
        <v>0</v>
      </c>
      <c r="AJ49" s="4">
        <f t="shared" si="43"/>
        <v>0</v>
      </c>
      <c r="AK49" s="4">
        <f t="shared" si="43"/>
        <v>0</v>
      </c>
      <c r="AL49" s="4">
        <f t="shared" si="43"/>
        <v>0</v>
      </c>
      <c r="AM49" s="4">
        <f t="shared" si="43"/>
        <v>0</v>
      </c>
    </row>
    <row r="50" spans="1:39" ht="18">
      <c r="A50" s="21" t="s">
        <v>84</v>
      </c>
      <c r="B50" s="22">
        <v>0.04</v>
      </c>
      <c r="C50" s="4" t="s">
        <v>85</v>
      </c>
      <c r="V50" s="4" t="s">
        <v>65</v>
      </c>
      <c r="W50" s="4" t="s">
        <v>66</v>
      </c>
      <c r="X50" s="4">
        <f t="shared" si="43"/>
        <v>0</v>
      </c>
      <c r="Y50" s="4">
        <f t="shared" si="43"/>
        <v>0</v>
      </c>
      <c r="Z50" s="4">
        <f t="shared" si="43"/>
        <v>0</v>
      </c>
      <c r="AA50" s="4">
        <f t="shared" si="43"/>
        <v>0</v>
      </c>
      <c r="AB50" s="4">
        <f t="shared" si="43"/>
        <v>0</v>
      </c>
      <c r="AC50" s="4">
        <f t="shared" si="43"/>
        <v>0</v>
      </c>
      <c r="AD50" s="4">
        <f t="shared" si="43"/>
        <v>0</v>
      </c>
      <c r="AE50" s="4">
        <f t="shared" si="43"/>
        <v>0</v>
      </c>
      <c r="AF50" s="4">
        <f t="shared" si="43"/>
        <v>0</v>
      </c>
      <c r="AG50" s="4">
        <f t="shared" si="43"/>
        <v>0</v>
      </c>
      <c r="AH50" s="4">
        <f t="shared" si="43"/>
        <v>0</v>
      </c>
      <c r="AI50" s="4">
        <f t="shared" si="43"/>
        <v>0</v>
      </c>
      <c r="AJ50" s="4">
        <f t="shared" si="43"/>
        <v>0</v>
      </c>
      <c r="AK50" s="4">
        <f t="shared" si="43"/>
        <v>0</v>
      </c>
      <c r="AL50" s="4">
        <f t="shared" si="43"/>
        <v>0</v>
      </c>
      <c r="AM50" s="4">
        <f t="shared" si="43"/>
        <v>0</v>
      </c>
    </row>
    <row r="51" spans="1:39">
      <c r="B51" s="13" t="s">
        <v>54</v>
      </c>
      <c r="V51" s="4" t="s">
        <v>69</v>
      </c>
      <c r="W51" s="4" t="s">
        <v>66</v>
      </c>
      <c r="X51" s="4">
        <f t="shared" si="43"/>
        <v>0</v>
      </c>
      <c r="Y51" s="4">
        <f t="shared" si="43"/>
        <v>0</v>
      </c>
      <c r="Z51" s="4">
        <f t="shared" si="43"/>
        <v>0</v>
      </c>
      <c r="AA51" s="4">
        <f t="shared" si="43"/>
        <v>0</v>
      </c>
      <c r="AB51" s="4">
        <f t="shared" si="43"/>
        <v>0</v>
      </c>
      <c r="AC51" s="4">
        <f t="shared" si="43"/>
        <v>0</v>
      </c>
      <c r="AD51" s="4">
        <f t="shared" si="43"/>
        <v>0</v>
      </c>
      <c r="AE51" s="4">
        <f t="shared" si="43"/>
        <v>0</v>
      </c>
      <c r="AF51" s="4">
        <f t="shared" si="43"/>
        <v>0</v>
      </c>
      <c r="AG51" s="4">
        <f t="shared" si="43"/>
        <v>0</v>
      </c>
      <c r="AH51" s="4">
        <f t="shared" si="43"/>
        <v>0</v>
      </c>
      <c r="AI51" s="4">
        <f t="shared" si="43"/>
        <v>0</v>
      </c>
      <c r="AJ51" s="4">
        <f t="shared" si="43"/>
        <v>0</v>
      </c>
      <c r="AK51" s="4">
        <f t="shared" si="43"/>
        <v>0</v>
      </c>
      <c r="AL51" s="4">
        <f t="shared" si="43"/>
        <v>0</v>
      </c>
      <c r="AM51" s="4">
        <f t="shared" si="43"/>
        <v>0</v>
      </c>
    </row>
    <row r="52" spans="1:39">
      <c r="A52" s="16"/>
      <c r="B52" s="17" t="s">
        <v>58</v>
      </c>
      <c r="C52" s="18">
        <f t="shared" ref="C52:R52" si="44">+C41</f>
        <v>44012</v>
      </c>
      <c r="D52" s="18">
        <f t="shared" si="44"/>
        <v>44027</v>
      </c>
      <c r="E52" s="18">
        <f t="shared" si="44"/>
        <v>44043</v>
      </c>
      <c r="F52" s="18">
        <f t="shared" si="44"/>
        <v>44058</v>
      </c>
      <c r="G52" s="18">
        <f t="shared" si="44"/>
        <v>44074</v>
      </c>
      <c r="H52" s="18">
        <f t="shared" si="44"/>
        <v>44104</v>
      </c>
      <c r="I52" s="18">
        <f t="shared" si="44"/>
        <v>44135</v>
      </c>
      <c r="J52" s="18">
        <f t="shared" si="44"/>
        <v>44165</v>
      </c>
      <c r="K52" s="18">
        <f t="shared" si="44"/>
        <v>44196</v>
      </c>
      <c r="L52" s="18">
        <f t="shared" si="44"/>
        <v>44227</v>
      </c>
      <c r="M52" s="18">
        <f t="shared" si="44"/>
        <v>44255</v>
      </c>
      <c r="N52" s="18">
        <f t="shared" si="44"/>
        <v>44286</v>
      </c>
      <c r="O52" s="18">
        <f t="shared" si="44"/>
        <v>44316</v>
      </c>
      <c r="P52" s="18">
        <f t="shared" si="44"/>
        <v>44331</v>
      </c>
      <c r="Q52" s="18">
        <f t="shared" si="44"/>
        <v>44347</v>
      </c>
      <c r="R52" s="18">
        <f t="shared" si="44"/>
        <v>44362</v>
      </c>
      <c r="V52" s="4" t="s">
        <v>71</v>
      </c>
      <c r="W52" s="4" t="s">
        <v>66</v>
      </c>
      <c r="X52" s="4">
        <f t="shared" si="43"/>
        <v>0</v>
      </c>
      <c r="Y52" s="4">
        <f t="shared" si="43"/>
        <v>0</v>
      </c>
      <c r="Z52" s="4">
        <f t="shared" si="43"/>
        <v>0</v>
      </c>
      <c r="AA52" s="4">
        <f t="shared" si="43"/>
        <v>0</v>
      </c>
      <c r="AB52" s="4">
        <f t="shared" si="43"/>
        <v>0</v>
      </c>
      <c r="AC52" s="4">
        <f t="shared" si="43"/>
        <v>0</v>
      </c>
      <c r="AD52" s="4">
        <f t="shared" si="43"/>
        <v>0</v>
      </c>
      <c r="AE52" s="4">
        <f t="shared" si="43"/>
        <v>0</v>
      </c>
      <c r="AF52" s="4">
        <f t="shared" si="43"/>
        <v>0</v>
      </c>
      <c r="AG52" s="4">
        <f t="shared" si="43"/>
        <v>0</v>
      </c>
      <c r="AH52" s="4">
        <f t="shared" si="43"/>
        <v>0</v>
      </c>
      <c r="AI52" s="4">
        <f t="shared" si="43"/>
        <v>0</v>
      </c>
      <c r="AJ52" s="4">
        <f t="shared" si="43"/>
        <v>0</v>
      </c>
      <c r="AK52" s="4">
        <f t="shared" si="43"/>
        <v>0</v>
      </c>
      <c r="AL52" s="4">
        <f t="shared" si="43"/>
        <v>0</v>
      </c>
      <c r="AM52" s="4">
        <f t="shared" si="43"/>
        <v>0</v>
      </c>
    </row>
    <row r="53" spans="1:39">
      <c r="V53" s="4" t="s">
        <v>73</v>
      </c>
      <c r="W53" s="4" t="s">
        <v>74</v>
      </c>
      <c r="X53" s="4">
        <v>0</v>
      </c>
      <c r="Y53" s="4">
        <v>0</v>
      </c>
      <c r="Z53" s="4">
        <v>0</v>
      </c>
      <c r="AA53" s="4">
        <v>0</v>
      </c>
      <c r="AB53" s="4">
        <v>0</v>
      </c>
      <c r="AC53" s="4">
        <v>0</v>
      </c>
      <c r="AD53" s="4">
        <v>0</v>
      </c>
      <c r="AE53" s="4">
        <v>0</v>
      </c>
      <c r="AF53" s="4">
        <v>0</v>
      </c>
      <c r="AG53" s="4">
        <v>0</v>
      </c>
      <c r="AH53" s="4">
        <v>0</v>
      </c>
      <c r="AI53" s="4">
        <v>0</v>
      </c>
      <c r="AJ53" s="4">
        <v>0</v>
      </c>
      <c r="AK53" s="4">
        <v>0</v>
      </c>
      <c r="AL53" s="4">
        <v>0</v>
      </c>
      <c r="AM53" s="4">
        <v>0</v>
      </c>
    </row>
    <row r="54" spans="1:39">
      <c r="A54" s="32" t="s">
        <v>97</v>
      </c>
      <c r="B54" s="33"/>
      <c r="C54" s="4">
        <f>ROUND((($AF$27*(X36/9))+($AG$27*(X44/9))+($AH$27*(X52/9))+($AF$28*AP36)+($AG$28*AP44)*1),0)</f>
        <v>2524</v>
      </c>
      <c r="D54" s="4">
        <f t="shared" ref="D54:R54" si="45">ROUND((($AF$27*(Y36/9))+($AG$27*(Y44/9))+($AH$27*(Y52/9))+($AF$28*AQ36)+($AG$28*AQ44)*1),0)</f>
        <v>2524</v>
      </c>
      <c r="E54" s="4">
        <f t="shared" si="45"/>
        <v>2524</v>
      </c>
      <c r="F54" s="4">
        <f t="shared" si="45"/>
        <v>2524</v>
      </c>
      <c r="G54" s="4">
        <f t="shared" si="45"/>
        <v>2530</v>
      </c>
      <c r="H54" s="4">
        <f t="shared" si="45"/>
        <v>2541</v>
      </c>
      <c r="I54" s="4">
        <f t="shared" si="45"/>
        <v>2552</v>
      </c>
      <c r="J54" s="4">
        <f t="shared" si="45"/>
        <v>2563</v>
      </c>
      <c r="K54" s="4">
        <f t="shared" si="45"/>
        <v>2575</v>
      </c>
      <c r="L54" s="4">
        <f t="shared" si="45"/>
        <v>2586</v>
      </c>
      <c r="M54" s="4">
        <f t="shared" si="45"/>
        <v>2597</v>
      </c>
      <c r="N54" s="4">
        <f t="shared" si="45"/>
        <v>2608</v>
      </c>
      <c r="O54" s="4">
        <f t="shared" si="45"/>
        <v>2619</v>
      </c>
      <c r="P54" s="4">
        <f t="shared" si="45"/>
        <v>2625</v>
      </c>
      <c r="Q54" s="4">
        <f t="shared" si="45"/>
        <v>2625</v>
      </c>
      <c r="R54" s="4">
        <f t="shared" si="45"/>
        <v>2625</v>
      </c>
    </row>
    <row r="55" spans="1:39">
      <c r="Q55" s="34"/>
      <c r="R55" s="34"/>
    </row>
  </sheetData>
  <sheetProtection algorithmName="SHA-512" hashValue="Ymlz3FyyvpqTGdw1+JdZcLNrLPphwkdrIbovd+CU0vHG15MCsrtnm4GXHekUi7Vgf5TWs2v5hqv8AviulKFZuw==" saltValue="P2pevrEflTlPSjIrg/oDTw==" spinCount="100000" sheet="1" objects="1" scenarios="1"/>
  <pageMargins left="0.2" right="0.2" top="0.2" bottom="0.2" header="0" footer="0"/>
  <pageSetup scale="10" orientation="landscape"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CC66FF"/>
    <pageSetUpPr fitToPage="1"/>
  </sheetPr>
  <dimension ref="A1:CG57"/>
  <sheetViews>
    <sheetView topLeftCell="A4" zoomScaleNormal="100" workbookViewId="0">
      <selection activeCell="S3" sqref="S1:CG1048576"/>
    </sheetView>
  </sheetViews>
  <sheetFormatPr defaultRowHeight="14.1" customHeight="1"/>
  <cols>
    <col min="1" max="1" width="12.5703125" style="10" customWidth="1"/>
    <col min="2" max="2" width="7.7109375" style="4" customWidth="1"/>
    <col min="3" max="18" width="9.7109375" style="4" customWidth="1"/>
    <col min="19" max="22" width="11.42578125" style="4" hidden="1" customWidth="1"/>
    <col min="23" max="23" width="16" style="4" hidden="1" customWidth="1"/>
    <col min="24" max="75" width="11.42578125" style="4" hidden="1" customWidth="1"/>
    <col min="76" max="76" width="9.7109375" style="4" hidden="1" customWidth="1"/>
    <col min="77" max="85" width="9.140625" style="4" hidden="1" customWidth="1"/>
    <col min="86" max="118" width="9.140625" style="4" customWidth="1"/>
    <col min="119" max="16384" width="9.140625" style="4"/>
  </cols>
  <sheetData>
    <row r="1" spans="1:76" ht="14.1" hidden="1" customHeight="1">
      <c r="T1" s="4" t="s">
        <v>256</v>
      </c>
      <c r="U1" s="1112">
        <f>'GRA 26-60 Matrices'!U1</f>
        <v>4685</v>
      </c>
      <c r="V1" s="4">
        <f>ROUND(U1*1.04,0)</f>
        <v>4872</v>
      </c>
      <c r="W1" s="4">
        <f>ROUND(V1*1.04,0)</f>
        <v>5067</v>
      </c>
    </row>
    <row r="2" spans="1:76" ht="14.1" hidden="1" customHeight="1" thickBot="1">
      <c r="T2" s="4" t="s">
        <v>325</v>
      </c>
      <c r="U2" s="1112">
        <f>'GRA 26-60 Matrices'!U3</f>
        <v>4199</v>
      </c>
      <c r="V2" s="4">
        <f>ROUND(U2*1.04,0)</f>
        <v>4367</v>
      </c>
      <c r="W2" s="4">
        <f>ROUND(V2*1.04,0)</f>
        <v>4542</v>
      </c>
    </row>
    <row r="3" spans="1:76" ht="24" customHeight="1" thickBot="1">
      <c r="A3" s="36" t="s">
        <v>49</v>
      </c>
      <c r="B3" s="2"/>
      <c r="C3" s="2"/>
      <c r="D3" s="2"/>
      <c r="E3" s="2"/>
      <c r="F3" s="2"/>
      <c r="G3" s="2"/>
      <c r="H3" s="2"/>
      <c r="I3" s="2"/>
      <c r="J3" s="2"/>
      <c r="K3" s="2"/>
      <c r="L3" s="2"/>
      <c r="M3" s="2"/>
      <c r="N3" s="2"/>
      <c r="O3" s="2"/>
      <c r="P3" s="2"/>
      <c r="Q3" s="2"/>
      <c r="R3" s="3"/>
    </row>
    <row r="4" spans="1:76" ht="24" customHeight="1" thickTop="1" thickBot="1">
      <c r="A4" s="6" t="s">
        <v>51</v>
      </c>
      <c r="B4" s="7"/>
      <c r="C4" s="39" t="s">
        <v>313</v>
      </c>
      <c r="D4" s="7"/>
      <c r="E4" s="7"/>
      <c r="F4" s="7"/>
      <c r="G4" s="7"/>
      <c r="H4" s="7"/>
      <c r="I4" s="7"/>
      <c r="J4" s="7"/>
      <c r="K4" s="7"/>
      <c r="L4" s="7"/>
      <c r="M4" s="8"/>
      <c r="N4" s="9"/>
      <c r="O4" s="7"/>
      <c r="P4" s="7"/>
      <c r="Q4" s="123"/>
      <c r="R4" s="37"/>
    </row>
    <row r="6" spans="1:76" ht="14.1" customHeight="1">
      <c r="A6" s="11" t="s">
        <v>269</v>
      </c>
      <c r="B6" s="12"/>
      <c r="C6" s="1"/>
      <c r="D6" s="1"/>
      <c r="E6" s="1"/>
      <c r="F6" s="1"/>
      <c r="G6" s="1"/>
      <c r="H6" s="1"/>
      <c r="I6" s="1"/>
      <c r="J6" s="1"/>
      <c r="K6" s="1"/>
      <c r="L6" s="1"/>
      <c r="M6" s="1"/>
      <c r="N6" s="1"/>
      <c r="O6" s="1"/>
      <c r="P6" s="1"/>
      <c r="Q6" s="1"/>
      <c r="R6" s="1"/>
    </row>
    <row r="7" spans="1:76" ht="14.1" customHeight="1">
      <c r="A7" s="11"/>
      <c r="B7" s="13" t="s">
        <v>54</v>
      </c>
      <c r="C7" s="1"/>
      <c r="D7" s="1"/>
      <c r="E7" s="1"/>
      <c r="F7" s="1"/>
      <c r="G7" s="1"/>
      <c r="H7" s="1"/>
      <c r="I7" s="1"/>
      <c r="J7" s="1"/>
      <c r="K7" s="1"/>
      <c r="L7" s="1"/>
      <c r="M7" s="1"/>
      <c r="N7" s="1"/>
      <c r="O7" s="1"/>
      <c r="P7" s="1"/>
      <c r="Q7" s="1"/>
      <c r="R7" s="1"/>
      <c r="V7" s="117" t="s">
        <v>53</v>
      </c>
      <c r="W7" s="112">
        <v>0.5</v>
      </c>
      <c r="X7" s="15">
        <f t="shared" ref="X7:AM7" si="0">+(D9-C9)/C9</f>
        <v>1.672002845962291E-3</v>
      </c>
      <c r="Y7" s="15">
        <f t="shared" si="0"/>
        <v>1.6692119188834037E-3</v>
      </c>
      <c r="Z7" s="15">
        <f t="shared" si="0"/>
        <v>1.6309743298822863E-3</v>
      </c>
      <c r="AA7" s="15">
        <f t="shared" si="0"/>
        <v>1.663716814159292E-3</v>
      </c>
      <c r="AB7" s="15">
        <f t="shared" si="0"/>
        <v>3.3219069159274835E-3</v>
      </c>
      <c r="AC7" s="15">
        <f t="shared" si="0"/>
        <v>3.2756859568173011E-3</v>
      </c>
      <c r="AD7" s="15">
        <f t="shared" si="0"/>
        <v>3.3000983008004492E-3</v>
      </c>
      <c r="AE7" s="15">
        <f t="shared" si="0"/>
        <v>3.2542515221499054E-3</v>
      </c>
      <c r="AF7" s="15">
        <f t="shared" si="0"/>
        <v>3.278574169020962E-3</v>
      </c>
      <c r="AG7" s="15">
        <f t="shared" si="0"/>
        <v>3.2330957761168085E-3</v>
      </c>
      <c r="AH7" s="15">
        <f t="shared" si="0"/>
        <v>3.2573289902280132E-3</v>
      </c>
      <c r="AI7" s="15">
        <f t="shared" si="0"/>
        <v>3.2122133185962971E-3</v>
      </c>
      <c r="AJ7" s="15">
        <f t="shared" si="0"/>
        <v>1.6181786882423824E-3</v>
      </c>
      <c r="AK7" s="15">
        <f t="shared" si="0"/>
        <v>1.6155644163343874E-3</v>
      </c>
      <c r="AL7" s="15">
        <f t="shared" si="0"/>
        <v>1.5786403102371392E-3</v>
      </c>
      <c r="AM7" s="15">
        <f t="shared" si="0"/>
        <v>-1</v>
      </c>
      <c r="AN7" s="117" t="s">
        <v>53</v>
      </c>
      <c r="AO7" s="112">
        <f>+W7</f>
        <v>0.5</v>
      </c>
      <c r="AP7" s="117">
        <f t="shared" ref="AP7:BE7" si="1">+AP19+AP9</f>
        <v>3</v>
      </c>
      <c r="AQ7" s="15">
        <f t="shared" si="1"/>
        <v>3</v>
      </c>
      <c r="AR7" s="15">
        <f t="shared" si="1"/>
        <v>3</v>
      </c>
      <c r="AS7" s="15">
        <f t="shared" si="1"/>
        <v>3</v>
      </c>
      <c r="AT7" s="15">
        <f t="shared" si="1"/>
        <v>3</v>
      </c>
      <c r="AU7" s="15">
        <f t="shared" si="1"/>
        <v>3</v>
      </c>
      <c r="AV7" s="15">
        <f t="shared" si="1"/>
        <v>3</v>
      </c>
      <c r="AW7" s="15">
        <f t="shared" si="1"/>
        <v>3</v>
      </c>
      <c r="AX7" s="15">
        <f t="shared" si="1"/>
        <v>3</v>
      </c>
      <c r="AY7" s="15">
        <f t="shared" si="1"/>
        <v>3</v>
      </c>
      <c r="AZ7" s="15">
        <f t="shared" si="1"/>
        <v>3</v>
      </c>
      <c r="BA7" s="15">
        <f t="shared" si="1"/>
        <v>3</v>
      </c>
      <c r="BB7" s="15">
        <f t="shared" si="1"/>
        <v>3</v>
      </c>
      <c r="BC7" s="15">
        <f t="shared" si="1"/>
        <v>3</v>
      </c>
      <c r="BD7" s="15">
        <f t="shared" si="1"/>
        <v>3</v>
      </c>
      <c r="BE7" s="15">
        <f t="shared" si="1"/>
        <v>3</v>
      </c>
      <c r="BG7" s="117" t="s">
        <v>53</v>
      </c>
      <c r="BH7" s="112">
        <v>0.5</v>
      </c>
      <c r="BI7" s="15"/>
      <c r="BJ7" s="15"/>
      <c r="BK7" s="15"/>
      <c r="BL7" s="15"/>
      <c r="BM7" s="15"/>
      <c r="BN7" s="15"/>
      <c r="BO7" s="15"/>
      <c r="BP7" s="15"/>
      <c r="BQ7" s="15"/>
      <c r="BR7" s="15"/>
      <c r="BS7" s="15"/>
      <c r="BT7" s="15"/>
      <c r="BU7" s="15"/>
      <c r="BV7" s="15"/>
      <c r="BW7" s="15"/>
      <c r="BX7" s="15"/>
    </row>
    <row r="8" spans="1:76" ht="14.1" customHeight="1">
      <c r="A8" s="16"/>
      <c r="B8" s="17" t="s">
        <v>58</v>
      </c>
      <c r="C8" s="18">
        <f>'GRA 26-60 Matrices'!C12</f>
        <v>44012</v>
      </c>
      <c r="D8" s="18">
        <f>'GRA 26-60 Matrices'!D12</f>
        <v>44027</v>
      </c>
      <c r="E8" s="18">
        <f>'GRA 26-60 Matrices'!E12</f>
        <v>44043</v>
      </c>
      <c r="F8" s="18">
        <f>'GRA 26-60 Matrices'!F12</f>
        <v>44058</v>
      </c>
      <c r="G8" s="18">
        <f>'GRA 26-60 Matrices'!G12</f>
        <v>44074</v>
      </c>
      <c r="H8" s="18">
        <f>'GRA 26-60 Matrices'!H12</f>
        <v>44104</v>
      </c>
      <c r="I8" s="18">
        <f>'GRA 26-60 Matrices'!I12</f>
        <v>44135</v>
      </c>
      <c r="J8" s="18">
        <f>'GRA 26-60 Matrices'!J12</f>
        <v>44165</v>
      </c>
      <c r="K8" s="18">
        <f>'GRA 26-60 Matrices'!K12</f>
        <v>44196</v>
      </c>
      <c r="L8" s="18">
        <f>'GRA 26-60 Matrices'!L12</f>
        <v>44227</v>
      </c>
      <c r="M8" s="18">
        <f>'GRA 26-60 Matrices'!M12</f>
        <v>44255</v>
      </c>
      <c r="N8" s="18">
        <f>'GRA 26-60 Matrices'!N12</f>
        <v>44286</v>
      </c>
      <c r="O8" s="18">
        <f>'GRA 26-60 Matrices'!O12</f>
        <v>44316</v>
      </c>
      <c r="P8" s="18">
        <f>'GRA 26-60 Matrices'!P12</f>
        <v>44331</v>
      </c>
      <c r="Q8" s="18">
        <f>'GRA 26-60 Matrices'!Q12</f>
        <v>44347</v>
      </c>
      <c r="R8" s="18">
        <f>'GRA 26-60 Matrices'!R12</f>
        <v>44362</v>
      </c>
      <c r="V8" s="115" t="s">
        <v>55</v>
      </c>
      <c r="W8" s="116"/>
      <c r="X8" s="19">
        <f t="shared" ref="X8:AM8" si="2">+C8</f>
        <v>44012</v>
      </c>
      <c r="Y8" s="19">
        <f t="shared" si="2"/>
        <v>44027</v>
      </c>
      <c r="Z8" s="19">
        <f t="shared" si="2"/>
        <v>44043</v>
      </c>
      <c r="AA8" s="19">
        <f t="shared" si="2"/>
        <v>44058</v>
      </c>
      <c r="AB8" s="19">
        <f t="shared" si="2"/>
        <v>44074</v>
      </c>
      <c r="AC8" s="19">
        <f t="shared" si="2"/>
        <v>44104</v>
      </c>
      <c r="AD8" s="19">
        <f t="shared" si="2"/>
        <v>44135</v>
      </c>
      <c r="AE8" s="19">
        <f t="shared" si="2"/>
        <v>44165</v>
      </c>
      <c r="AF8" s="19">
        <f t="shared" si="2"/>
        <v>44196</v>
      </c>
      <c r="AG8" s="19">
        <f t="shared" si="2"/>
        <v>44227</v>
      </c>
      <c r="AH8" s="19">
        <f t="shared" si="2"/>
        <v>44255</v>
      </c>
      <c r="AI8" s="19">
        <f t="shared" si="2"/>
        <v>44286</v>
      </c>
      <c r="AJ8" s="19">
        <f t="shared" si="2"/>
        <v>44316</v>
      </c>
      <c r="AK8" s="19">
        <f t="shared" si="2"/>
        <v>44331</v>
      </c>
      <c r="AL8" s="19">
        <f t="shared" si="2"/>
        <v>44347</v>
      </c>
      <c r="AM8" s="19">
        <f t="shared" si="2"/>
        <v>44362</v>
      </c>
      <c r="AN8" s="115" t="s">
        <v>56</v>
      </c>
      <c r="AO8" s="115"/>
      <c r="AP8" s="116">
        <f t="shared" ref="AP8:BE8" si="3">+X8</f>
        <v>44012</v>
      </c>
      <c r="AQ8" s="19">
        <f t="shared" si="3"/>
        <v>44027</v>
      </c>
      <c r="AR8" s="19">
        <f t="shared" si="3"/>
        <v>44043</v>
      </c>
      <c r="AS8" s="19">
        <f t="shared" si="3"/>
        <v>44058</v>
      </c>
      <c r="AT8" s="19">
        <f t="shared" si="3"/>
        <v>44074</v>
      </c>
      <c r="AU8" s="19">
        <f t="shared" si="3"/>
        <v>44104</v>
      </c>
      <c r="AV8" s="19">
        <f t="shared" si="3"/>
        <v>44135</v>
      </c>
      <c r="AW8" s="19">
        <f t="shared" si="3"/>
        <v>44165</v>
      </c>
      <c r="AX8" s="19">
        <f t="shared" si="3"/>
        <v>44196</v>
      </c>
      <c r="AY8" s="19">
        <f t="shared" si="3"/>
        <v>44227</v>
      </c>
      <c r="AZ8" s="19">
        <f t="shared" si="3"/>
        <v>44255</v>
      </c>
      <c r="BA8" s="19">
        <f t="shared" si="3"/>
        <v>44286</v>
      </c>
      <c r="BB8" s="19">
        <f t="shared" si="3"/>
        <v>44316</v>
      </c>
      <c r="BC8" s="19">
        <f t="shared" si="3"/>
        <v>44331</v>
      </c>
      <c r="BD8" s="19">
        <f t="shared" si="3"/>
        <v>44347</v>
      </c>
      <c r="BE8" s="19">
        <f t="shared" si="3"/>
        <v>44362</v>
      </c>
      <c r="BG8" s="118" t="s">
        <v>57</v>
      </c>
      <c r="BH8" s="115"/>
      <c r="BI8" s="19">
        <v>35064</v>
      </c>
      <c r="BJ8" s="19">
        <v>35095</v>
      </c>
      <c r="BK8" s="19">
        <v>35124</v>
      </c>
      <c r="BL8" s="19">
        <v>35155</v>
      </c>
      <c r="BM8" s="19">
        <v>35185</v>
      </c>
      <c r="BN8" s="19">
        <v>35200</v>
      </c>
      <c r="BO8" s="19">
        <v>35216</v>
      </c>
      <c r="BP8" s="19">
        <v>35231</v>
      </c>
      <c r="BQ8" s="19">
        <v>35246</v>
      </c>
      <c r="BR8" s="19">
        <v>35261</v>
      </c>
      <c r="BS8" s="19">
        <v>35277</v>
      </c>
      <c r="BT8" s="19">
        <v>35292</v>
      </c>
      <c r="BU8" s="19">
        <v>35308</v>
      </c>
      <c r="BV8" s="19">
        <v>35338</v>
      </c>
      <c r="BW8" s="19">
        <v>35369</v>
      </c>
      <c r="BX8" s="19">
        <v>35399</v>
      </c>
    </row>
    <row r="9" spans="1:76" ht="14.1" customHeight="1">
      <c r="A9" s="10" t="s">
        <v>59</v>
      </c>
      <c r="B9" s="4">
        <v>12</v>
      </c>
      <c r="C9" s="4">
        <f t="shared" ref="C9:R9" si="4">ROUND((($U$1*X$9)+($V$1*X$19)+($U$1*AP$9)+($V$1*AP$19)+($W$1*(3-(AP$9+AP$19)))+($W$1*(9-(X$9+X$19))))*$AO$7,0)</f>
        <v>28110</v>
      </c>
      <c r="D9" s="4">
        <f t="shared" si="4"/>
        <v>28157</v>
      </c>
      <c r="E9" s="4">
        <f t="shared" si="4"/>
        <v>28204</v>
      </c>
      <c r="F9" s="4">
        <f t="shared" si="4"/>
        <v>28250</v>
      </c>
      <c r="G9" s="4">
        <f t="shared" si="4"/>
        <v>28297</v>
      </c>
      <c r="H9" s="4">
        <f t="shared" si="4"/>
        <v>28391</v>
      </c>
      <c r="I9" s="4">
        <f t="shared" si="4"/>
        <v>28484</v>
      </c>
      <c r="J9" s="4">
        <f t="shared" si="4"/>
        <v>28578</v>
      </c>
      <c r="K9" s="4">
        <f t="shared" si="4"/>
        <v>28671</v>
      </c>
      <c r="L9" s="4">
        <f t="shared" si="4"/>
        <v>28765</v>
      </c>
      <c r="M9" s="4">
        <f t="shared" si="4"/>
        <v>28858</v>
      </c>
      <c r="N9" s="4">
        <f t="shared" si="4"/>
        <v>28952</v>
      </c>
      <c r="O9" s="4">
        <f t="shared" si="4"/>
        <v>29045</v>
      </c>
      <c r="P9" s="4">
        <f t="shared" si="4"/>
        <v>29092</v>
      </c>
      <c r="Q9" s="4">
        <f t="shared" si="4"/>
        <v>29139</v>
      </c>
      <c r="R9" s="4">
        <f t="shared" si="4"/>
        <v>29185</v>
      </c>
      <c r="V9" s="4" t="s">
        <v>60</v>
      </c>
      <c r="W9" s="4" t="s">
        <v>61</v>
      </c>
      <c r="X9" s="4">
        <v>9</v>
      </c>
      <c r="Y9" s="4">
        <v>9</v>
      </c>
      <c r="Z9" s="4">
        <v>9</v>
      </c>
      <c r="AA9" s="4">
        <v>9</v>
      </c>
      <c r="AB9" s="4">
        <v>8.5</v>
      </c>
      <c r="AC9" s="4">
        <v>7.5</v>
      </c>
      <c r="AD9" s="4">
        <v>6.5</v>
      </c>
      <c r="AE9" s="4">
        <v>5.5</v>
      </c>
      <c r="AF9" s="4">
        <v>4.5</v>
      </c>
      <c r="AG9" s="4">
        <v>3.5</v>
      </c>
      <c r="AH9" s="4">
        <v>2.5</v>
      </c>
      <c r="AI9" s="4">
        <v>1.5</v>
      </c>
      <c r="AJ9" s="4">
        <v>0.5</v>
      </c>
      <c r="AK9" s="4">
        <v>0</v>
      </c>
      <c r="AL9" s="4">
        <v>0</v>
      </c>
      <c r="AM9" s="4">
        <v>0</v>
      </c>
      <c r="AN9" s="4" t="s">
        <v>60</v>
      </c>
      <c r="AO9" s="4" t="s">
        <v>62</v>
      </c>
      <c r="AP9" s="4">
        <v>3</v>
      </c>
      <c r="AQ9" s="4">
        <v>2.5</v>
      </c>
      <c r="AR9" s="4">
        <v>2</v>
      </c>
      <c r="AS9" s="4">
        <v>1.5</v>
      </c>
      <c r="AT9" s="4">
        <v>1.5</v>
      </c>
      <c r="AU9" s="4">
        <v>1.5</v>
      </c>
      <c r="AV9" s="4">
        <v>1.5</v>
      </c>
      <c r="AW9" s="4">
        <v>1.5</v>
      </c>
      <c r="AX9" s="4">
        <v>1.5</v>
      </c>
      <c r="AY9" s="4">
        <v>1.5</v>
      </c>
      <c r="AZ9" s="4">
        <v>1.5</v>
      </c>
      <c r="BA9" s="4">
        <v>1.5</v>
      </c>
      <c r="BB9" s="4">
        <v>1.5</v>
      </c>
      <c r="BC9" s="4">
        <v>1.5</v>
      </c>
      <c r="BD9" s="4">
        <v>1</v>
      </c>
      <c r="BE9" s="4">
        <v>0.5</v>
      </c>
      <c r="BG9" s="4" t="s">
        <v>60</v>
      </c>
      <c r="BH9" s="4" t="s">
        <v>63</v>
      </c>
      <c r="BI9" s="4">
        <f t="shared" ref="BI9:BX9" si="5">9-(X9+X19)</f>
        <v>0</v>
      </c>
      <c r="BJ9" s="4">
        <f t="shared" si="5"/>
        <v>0</v>
      </c>
      <c r="BK9" s="4">
        <f t="shared" si="5"/>
        <v>0</v>
      </c>
      <c r="BL9" s="4">
        <f t="shared" si="5"/>
        <v>0</v>
      </c>
      <c r="BM9" s="4">
        <f t="shared" si="5"/>
        <v>0</v>
      </c>
      <c r="BN9" s="4">
        <f t="shared" si="5"/>
        <v>0</v>
      </c>
      <c r="BO9" s="4">
        <f t="shared" si="5"/>
        <v>0</v>
      </c>
      <c r="BP9" s="4">
        <f t="shared" si="5"/>
        <v>0</v>
      </c>
      <c r="BQ9" s="4">
        <f t="shared" si="5"/>
        <v>0</v>
      </c>
      <c r="BR9" s="4">
        <f t="shared" si="5"/>
        <v>0</v>
      </c>
      <c r="BS9" s="4">
        <f t="shared" si="5"/>
        <v>0</v>
      </c>
      <c r="BT9" s="4">
        <f t="shared" si="5"/>
        <v>0</v>
      </c>
      <c r="BU9" s="4">
        <f t="shared" si="5"/>
        <v>0</v>
      </c>
      <c r="BV9" s="4">
        <f t="shared" si="5"/>
        <v>0</v>
      </c>
      <c r="BW9" s="4">
        <f t="shared" si="5"/>
        <v>0</v>
      </c>
      <c r="BX9" s="4">
        <f t="shared" si="5"/>
        <v>0</v>
      </c>
    </row>
    <row r="10" spans="1:76" ht="14.1" customHeight="1">
      <c r="A10" s="10" t="s">
        <v>64</v>
      </c>
      <c r="B10" s="4">
        <v>11</v>
      </c>
      <c r="C10" s="4">
        <f t="shared" ref="C10:R10" si="6">ROUND((($U$1*X$10)+($V$1*X$20)+($U$1*AP$10)+($V$1*AP$20)+($W$1*(2-(AP$10+AP$20)))+($W$1*(9-(X$10+X$20))))*$AO$7,0)</f>
        <v>25768</v>
      </c>
      <c r="D10" s="4">
        <f t="shared" si="6"/>
        <v>25768</v>
      </c>
      <c r="E10" s="4">
        <f t="shared" si="6"/>
        <v>25768</v>
      </c>
      <c r="F10" s="4">
        <f t="shared" si="6"/>
        <v>25814</v>
      </c>
      <c r="G10" s="4">
        <f t="shared" si="6"/>
        <v>25861</v>
      </c>
      <c r="H10" s="4">
        <f t="shared" si="6"/>
        <v>25955</v>
      </c>
      <c r="I10" s="4">
        <f t="shared" si="6"/>
        <v>26048</v>
      </c>
      <c r="J10" s="4">
        <f t="shared" si="6"/>
        <v>26142</v>
      </c>
      <c r="K10" s="4">
        <f t="shared" si="6"/>
        <v>26235</v>
      </c>
      <c r="L10" s="4">
        <f t="shared" si="6"/>
        <v>26329</v>
      </c>
      <c r="M10" s="4">
        <f t="shared" si="6"/>
        <v>26422</v>
      </c>
      <c r="N10" s="4">
        <f t="shared" si="6"/>
        <v>26516</v>
      </c>
      <c r="O10" s="4">
        <f t="shared" si="6"/>
        <v>26609</v>
      </c>
      <c r="P10" s="4">
        <f t="shared" si="6"/>
        <v>26656</v>
      </c>
      <c r="Q10" s="4">
        <f t="shared" si="6"/>
        <v>26703</v>
      </c>
      <c r="R10" s="4">
        <f t="shared" si="6"/>
        <v>26749</v>
      </c>
      <c r="V10" s="4" t="s">
        <v>65</v>
      </c>
      <c r="W10" s="4" t="s">
        <v>66</v>
      </c>
      <c r="X10" s="4">
        <v>9</v>
      </c>
      <c r="Y10" s="4">
        <v>9</v>
      </c>
      <c r="Z10" s="4">
        <v>9</v>
      </c>
      <c r="AA10" s="4">
        <v>9</v>
      </c>
      <c r="AB10" s="4">
        <v>8.5</v>
      </c>
      <c r="AC10" s="4">
        <v>7.5</v>
      </c>
      <c r="AD10" s="4">
        <v>6.5</v>
      </c>
      <c r="AE10" s="4">
        <v>5.5</v>
      </c>
      <c r="AF10" s="4">
        <v>4.5</v>
      </c>
      <c r="AG10" s="4">
        <v>3.5</v>
      </c>
      <c r="AH10" s="4">
        <v>2.5</v>
      </c>
      <c r="AI10" s="4">
        <v>1.5</v>
      </c>
      <c r="AJ10" s="4">
        <v>0.5</v>
      </c>
      <c r="AK10" s="4">
        <v>0</v>
      </c>
      <c r="AL10" s="4">
        <v>0</v>
      </c>
      <c r="AM10" s="4">
        <v>0</v>
      </c>
      <c r="AN10" s="4" t="s">
        <v>65</v>
      </c>
      <c r="AO10" s="4" t="s">
        <v>62</v>
      </c>
      <c r="AP10" s="4">
        <v>2</v>
      </c>
      <c r="AQ10" s="4">
        <v>2</v>
      </c>
      <c r="AR10" s="4">
        <v>2</v>
      </c>
      <c r="AS10" s="4">
        <v>1.5</v>
      </c>
      <c r="AT10" s="4">
        <v>1.5</v>
      </c>
      <c r="AU10" s="4">
        <v>1.5</v>
      </c>
      <c r="AV10" s="4">
        <v>1.5</v>
      </c>
      <c r="AW10" s="4">
        <v>1.5</v>
      </c>
      <c r="AX10" s="4">
        <v>1.5</v>
      </c>
      <c r="AY10" s="4">
        <v>1.5</v>
      </c>
      <c r="AZ10" s="4">
        <v>1.5</v>
      </c>
      <c r="BA10" s="4">
        <v>1.5</v>
      </c>
      <c r="BB10" s="4">
        <v>1.5</v>
      </c>
      <c r="BC10" s="4">
        <v>1.5</v>
      </c>
      <c r="BD10" s="4">
        <v>1</v>
      </c>
      <c r="BE10" s="4">
        <v>0.5</v>
      </c>
      <c r="BG10" s="4" t="s">
        <v>65</v>
      </c>
      <c r="BH10" s="4" t="s">
        <v>67</v>
      </c>
      <c r="BI10" s="4">
        <v>9</v>
      </c>
      <c r="BJ10" s="4">
        <v>8</v>
      </c>
      <c r="BK10" s="4">
        <v>7</v>
      </c>
      <c r="BL10" s="4">
        <v>6</v>
      </c>
      <c r="BM10" s="4">
        <v>5</v>
      </c>
      <c r="BN10" s="4">
        <v>4.5</v>
      </c>
      <c r="BO10" s="4">
        <v>4.5</v>
      </c>
      <c r="BP10" s="4">
        <v>4.5</v>
      </c>
      <c r="BQ10" s="4">
        <v>4.5</v>
      </c>
      <c r="BR10" s="4">
        <v>4.5</v>
      </c>
      <c r="BS10" s="4">
        <v>4.5</v>
      </c>
      <c r="BT10" s="4">
        <v>4.5</v>
      </c>
      <c r="BU10" s="4">
        <v>4</v>
      </c>
      <c r="BV10" s="4">
        <v>3</v>
      </c>
      <c r="BW10" s="4">
        <v>2</v>
      </c>
      <c r="BX10" s="4">
        <v>1</v>
      </c>
    </row>
    <row r="11" spans="1:76" ht="14.1" customHeight="1">
      <c r="A11" s="10" t="s">
        <v>68</v>
      </c>
      <c r="B11" s="4">
        <v>10</v>
      </c>
      <c r="C11" s="4">
        <f>ROUND((($U$1*X$11)+($V$1*X$21)+($U$1*AP$11)+($V$1*AP$21)+($W$1*(1-(AP$11+AP$21)))+($W$1*(9-(X$11+X$21))))*$AO$7,0)</f>
        <v>23425</v>
      </c>
      <c r="D11" s="4">
        <f t="shared" ref="D11:R11" si="7">ROUND((($U$1*Y11)+($V$1*Y21)+($U$1*AQ11)+($V$1*AQ21)+($W$1*(1-(AQ11+AQ21)))+($W$1*(9-(Y11+Y21))))*$AO$7,0)</f>
        <v>23425</v>
      </c>
      <c r="E11" s="4">
        <f t="shared" si="7"/>
        <v>23425</v>
      </c>
      <c r="F11" s="4">
        <f t="shared" si="7"/>
        <v>23425</v>
      </c>
      <c r="G11" s="4">
        <f t="shared" si="7"/>
        <v>23472</v>
      </c>
      <c r="H11" s="4">
        <f t="shared" si="7"/>
        <v>23565</v>
      </c>
      <c r="I11" s="4">
        <f t="shared" si="7"/>
        <v>23659</v>
      </c>
      <c r="J11" s="4">
        <f t="shared" si="7"/>
        <v>23752</v>
      </c>
      <c r="K11" s="4">
        <f t="shared" si="7"/>
        <v>23846</v>
      </c>
      <c r="L11" s="4">
        <f t="shared" si="7"/>
        <v>23939</v>
      </c>
      <c r="M11" s="4">
        <f t="shared" si="7"/>
        <v>24033</v>
      </c>
      <c r="N11" s="4">
        <f t="shared" si="7"/>
        <v>24126</v>
      </c>
      <c r="O11" s="4">
        <f t="shared" si="7"/>
        <v>24220</v>
      </c>
      <c r="P11" s="4">
        <f t="shared" si="7"/>
        <v>24267</v>
      </c>
      <c r="Q11" s="4">
        <f t="shared" si="7"/>
        <v>24267</v>
      </c>
      <c r="R11" s="4">
        <f t="shared" si="7"/>
        <v>24313</v>
      </c>
      <c r="V11" s="4" t="s">
        <v>69</v>
      </c>
      <c r="W11" s="4" t="s">
        <v>66</v>
      </c>
      <c r="X11" s="4">
        <v>9</v>
      </c>
      <c r="Y11" s="4">
        <v>9</v>
      </c>
      <c r="Z11" s="4">
        <v>9</v>
      </c>
      <c r="AA11" s="4">
        <v>9</v>
      </c>
      <c r="AB11" s="4">
        <v>8.5</v>
      </c>
      <c r="AC11" s="4">
        <v>7.5</v>
      </c>
      <c r="AD11" s="4">
        <v>6.5</v>
      </c>
      <c r="AE11" s="4">
        <v>5.5</v>
      </c>
      <c r="AF11" s="4">
        <v>4.5</v>
      </c>
      <c r="AG11" s="4">
        <v>3.5</v>
      </c>
      <c r="AH11" s="4">
        <v>2.5</v>
      </c>
      <c r="AI11" s="4">
        <v>1.5</v>
      </c>
      <c r="AJ11" s="4">
        <v>0.5</v>
      </c>
      <c r="AK11" s="4">
        <v>0</v>
      </c>
      <c r="AL11" s="4">
        <v>0</v>
      </c>
      <c r="AM11" s="4">
        <v>0</v>
      </c>
      <c r="AN11" s="4" t="s">
        <v>69</v>
      </c>
      <c r="AO11" s="4" t="s">
        <v>62</v>
      </c>
      <c r="AP11" s="4">
        <v>1</v>
      </c>
      <c r="AQ11" s="4">
        <v>1</v>
      </c>
      <c r="AR11" s="4">
        <v>1</v>
      </c>
      <c r="AS11" s="4">
        <v>1</v>
      </c>
      <c r="AT11" s="4">
        <v>1</v>
      </c>
      <c r="AU11" s="4">
        <v>1</v>
      </c>
      <c r="AV11" s="4">
        <v>1</v>
      </c>
      <c r="AW11" s="4">
        <v>1</v>
      </c>
      <c r="AX11" s="4">
        <v>1</v>
      </c>
      <c r="AY11" s="4">
        <v>1</v>
      </c>
      <c r="AZ11" s="4">
        <v>1</v>
      </c>
      <c r="BA11" s="4">
        <v>1</v>
      </c>
      <c r="BB11" s="4">
        <v>1</v>
      </c>
      <c r="BC11" s="4">
        <v>1</v>
      </c>
      <c r="BD11" s="4">
        <v>1</v>
      </c>
      <c r="BE11" s="4">
        <v>0.5</v>
      </c>
      <c r="BG11" s="4" t="s">
        <v>69</v>
      </c>
      <c r="BH11" s="4" t="s">
        <v>67</v>
      </c>
      <c r="BI11" s="4">
        <v>9</v>
      </c>
      <c r="BJ11" s="4">
        <v>8</v>
      </c>
      <c r="BK11" s="4">
        <v>7</v>
      </c>
      <c r="BL11" s="4">
        <v>6</v>
      </c>
      <c r="BM11" s="4">
        <v>5</v>
      </c>
      <c r="BN11" s="4">
        <v>4.5</v>
      </c>
      <c r="BO11" s="4">
        <v>4.5</v>
      </c>
      <c r="BP11" s="4">
        <v>4.5</v>
      </c>
      <c r="BQ11" s="4">
        <v>4.5</v>
      </c>
      <c r="BR11" s="4">
        <v>4.5</v>
      </c>
      <c r="BS11" s="4">
        <v>4.5</v>
      </c>
      <c r="BT11" s="4">
        <v>4.5</v>
      </c>
      <c r="BU11" s="4">
        <v>4</v>
      </c>
      <c r="BV11" s="4">
        <v>3</v>
      </c>
      <c r="BW11" s="4">
        <v>2</v>
      </c>
      <c r="BX11" s="4">
        <v>1</v>
      </c>
    </row>
    <row r="12" spans="1:76" ht="14.1" customHeight="1">
      <c r="A12" s="10" t="s">
        <v>70</v>
      </c>
      <c r="B12" s="4">
        <v>9</v>
      </c>
      <c r="C12" s="4">
        <f>ROUND((($U$1*X$12)+($V$1*X$22)+($U$1*AP$12)+($V$1*AP$22)+($W$1*(0-(AP$12+AP$22)))+($W$1*(9-(X$12+X$22))))*$AO$7,0)</f>
        <v>21083</v>
      </c>
      <c r="D12" s="4">
        <f t="shared" ref="D12:R12" si="8">ROUND((($U$1*Y12)+($V$1*Y22)+($U$1*AQ12)+($V$1*AQ22)+($W$1*(0-(AQ12+AQ22)))+($W$1*(9-(Y12+Y22))))*$AO$7,0)</f>
        <v>21083</v>
      </c>
      <c r="E12" s="4">
        <f t="shared" si="8"/>
        <v>21083</v>
      </c>
      <c r="F12" s="4">
        <f t="shared" si="8"/>
        <v>21083</v>
      </c>
      <c r="G12" s="4">
        <f t="shared" si="8"/>
        <v>21129</v>
      </c>
      <c r="H12" s="4">
        <f t="shared" si="8"/>
        <v>21223</v>
      </c>
      <c r="I12" s="4">
        <f t="shared" si="8"/>
        <v>21316</v>
      </c>
      <c r="J12" s="4">
        <f t="shared" si="8"/>
        <v>21410</v>
      </c>
      <c r="K12" s="4">
        <f t="shared" si="8"/>
        <v>21503</v>
      </c>
      <c r="L12" s="4">
        <f t="shared" si="8"/>
        <v>21597</v>
      </c>
      <c r="M12" s="4">
        <f t="shared" si="8"/>
        <v>21690</v>
      </c>
      <c r="N12" s="4">
        <f t="shared" si="8"/>
        <v>21784</v>
      </c>
      <c r="O12" s="4">
        <f t="shared" si="8"/>
        <v>21877</v>
      </c>
      <c r="P12" s="4">
        <f t="shared" si="8"/>
        <v>21924</v>
      </c>
      <c r="Q12" s="4">
        <f t="shared" si="8"/>
        <v>21924</v>
      </c>
      <c r="R12" s="4">
        <f t="shared" si="8"/>
        <v>21924</v>
      </c>
      <c r="V12" s="4" t="s">
        <v>71</v>
      </c>
      <c r="W12" s="4" t="s">
        <v>66</v>
      </c>
      <c r="X12" s="4">
        <v>9</v>
      </c>
      <c r="Y12" s="4">
        <v>9</v>
      </c>
      <c r="Z12" s="4">
        <v>9</v>
      </c>
      <c r="AA12" s="4">
        <v>9</v>
      </c>
      <c r="AB12" s="4">
        <v>8.5</v>
      </c>
      <c r="AC12" s="4">
        <v>7.5</v>
      </c>
      <c r="AD12" s="4">
        <v>6.5</v>
      </c>
      <c r="AE12" s="4">
        <v>5.5</v>
      </c>
      <c r="AF12" s="4">
        <v>4.5</v>
      </c>
      <c r="AG12" s="4">
        <v>3.5</v>
      </c>
      <c r="AH12" s="4">
        <v>2.5</v>
      </c>
      <c r="AI12" s="4">
        <v>1.5</v>
      </c>
      <c r="AJ12" s="4">
        <v>0.5</v>
      </c>
      <c r="AK12" s="4">
        <v>0</v>
      </c>
      <c r="AL12" s="4">
        <v>0</v>
      </c>
      <c r="AM12" s="4">
        <v>0</v>
      </c>
      <c r="AN12" s="4" t="s">
        <v>71</v>
      </c>
      <c r="AO12" s="4" t="s">
        <v>62</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G12" s="4" t="s">
        <v>71</v>
      </c>
      <c r="BH12" s="4" t="s">
        <v>67</v>
      </c>
      <c r="BI12" s="4">
        <v>9</v>
      </c>
      <c r="BJ12" s="4">
        <v>8</v>
      </c>
      <c r="BK12" s="4">
        <v>7</v>
      </c>
      <c r="BL12" s="4">
        <v>6</v>
      </c>
      <c r="BM12" s="4">
        <v>5</v>
      </c>
      <c r="BN12" s="4">
        <v>4.5</v>
      </c>
      <c r="BO12" s="4">
        <v>4.5</v>
      </c>
      <c r="BP12" s="4">
        <v>4.5</v>
      </c>
      <c r="BQ12" s="4">
        <v>4.5</v>
      </c>
      <c r="BR12" s="4">
        <v>4.5</v>
      </c>
      <c r="BS12" s="4">
        <v>4.5</v>
      </c>
      <c r="BT12" s="4">
        <v>4.5</v>
      </c>
      <c r="BU12" s="4">
        <v>4</v>
      </c>
      <c r="BV12" s="4">
        <v>3</v>
      </c>
      <c r="BW12" s="4">
        <v>2</v>
      </c>
      <c r="BX12" s="4">
        <v>1</v>
      </c>
    </row>
    <row r="13" spans="1:76" ht="14.1" customHeight="1">
      <c r="A13" s="10" t="s">
        <v>72</v>
      </c>
      <c r="B13" s="4">
        <v>3</v>
      </c>
      <c r="C13" s="4">
        <f>ROUND((($U$1*X$13)+($V$1*X$23)+($U$1*AP$13)+($V$1*AP$23)+($W$1*(3-(AP$13+AP$23)))+($W$1*(0-(X$13+X$23))))*$AO$7,0)</f>
        <v>7028</v>
      </c>
      <c r="D13" s="4">
        <f t="shared" ref="D13:R13" si="9">ROUND((($U$1*Y13)+($V$1*Y23)+($U$1*AQ13)+($V$1*AQ23)+($W$1*(3-(AQ13+AQ23)))+($W$1*(0-(Y13+Y23))))*$AO$7,0)</f>
        <v>7074</v>
      </c>
      <c r="E13" s="4">
        <f t="shared" si="9"/>
        <v>7121</v>
      </c>
      <c r="F13" s="4">
        <f t="shared" si="9"/>
        <v>7168</v>
      </c>
      <c r="G13" s="4">
        <f t="shared" si="9"/>
        <v>7168</v>
      </c>
      <c r="H13" s="4">
        <f t="shared" si="9"/>
        <v>7168</v>
      </c>
      <c r="I13" s="4">
        <f t="shared" si="9"/>
        <v>7168</v>
      </c>
      <c r="J13" s="4">
        <f t="shared" si="9"/>
        <v>7168</v>
      </c>
      <c r="K13" s="4">
        <f t="shared" si="9"/>
        <v>7168</v>
      </c>
      <c r="L13" s="4">
        <f t="shared" si="9"/>
        <v>7168</v>
      </c>
      <c r="M13" s="4">
        <f t="shared" si="9"/>
        <v>7168</v>
      </c>
      <c r="N13" s="4">
        <f t="shared" si="9"/>
        <v>7168</v>
      </c>
      <c r="O13" s="4">
        <f t="shared" si="9"/>
        <v>7168</v>
      </c>
      <c r="P13" s="4">
        <f t="shared" si="9"/>
        <v>7168</v>
      </c>
      <c r="Q13" s="4">
        <f t="shared" si="9"/>
        <v>7215</v>
      </c>
      <c r="R13" s="4">
        <f t="shared" si="9"/>
        <v>7261</v>
      </c>
      <c r="V13" s="4" t="s">
        <v>73</v>
      </c>
      <c r="W13" s="4" t="s">
        <v>62</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t="s">
        <v>73</v>
      </c>
      <c r="AO13" s="4" t="s">
        <v>62</v>
      </c>
      <c r="AP13" s="4">
        <v>3</v>
      </c>
      <c r="AQ13" s="4">
        <v>2.5</v>
      </c>
      <c r="AR13" s="4">
        <v>2</v>
      </c>
      <c r="AS13" s="4">
        <v>1.5</v>
      </c>
      <c r="AT13" s="4">
        <v>1.5</v>
      </c>
      <c r="AU13" s="4">
        <v>1.5</v>
      </c>
      <c r="AV13" s="4">
        <v>1.5</v>
      </c>
      <c r="AW13" s="4">
        <v>1.5</v>
      </c>
      <c r="AX13" s="4">
        <v>1.5</v>
      </c>
      <c r="AY13" s="4">
        <v>1.5</v>
      </c>
      <c r="AZ13" s="4">
        <v>1.5</v>
      </c>
      <c r="BA13" s="4">
        <v>1.5</v>
      </c>
      <c r="BB13" s="4">
        <v>1.5</v>
      </c>
      <c r="BC13" s="4">
        <v>1.5</v>
      </c>
      <c r="BD13" s="4">
        <v>1</v>
      </c>
      <c r="BE13" s="4">
        <v>0.5</v>
      </c>
      <c r="BG13" s="4" t="s">
        <v>73</v>
      </c>
      <c r="BH13" s="4" t="s">
        <v>74</v>
      </c>
      <c r="BI13" s="4">
        <v>0</v>
      </c>
      <c r="BJ13" s="4">
        <v>0</v>
      </c>
      <c r="BK13" s="4">
        <v>0</v>
      </c>
      <c r="BL13" s="4">
        <v>0</v>
      </c>
      <c r="BM13" s="4">
        <v>0</v>
      </c>
      <c r="BN13" s="4">
        <v>0</v>
      </c>
      <c r="BO13" s="4">
        <v>0</v>
      </c>
      <c r="BP13" s="4">
        <v>0</v>
      </c>
      <c r="BQ13" s="4">
        <v>0</v>
      </c>
      <c r="BR13" s="4">
        <v>0</v>
      </c>
      <c r="BS13" s="4">
        <v>0</v>
      </c>
      <c r="BT13" s="4">
        <v>0</v>
      </c>
      <c r="BU13" s="4">
        <v>0</v>
      </c>
      <c r="BV13" s="4">
        <v>0</v>
      </c>
      <c r="BW13" s="4">
        <v>0</v>
      </c>
      <c r="BX13" s="4">
        <v>0</v>
      </c>
    </row>
    <row r="14" spans="1:76" ht="14.1" customHeight="1">
      <c r="A14" s="10" t="s">
        <v>75</v>
      </c>
      <c r="B14" s="4">
        <v>2</v>
      </c>
      <c r="C14" s="4">
        <f>ROUND((($U$1*X$14)+($V$1*X$24)+($U$1*AP$14)+($V$1*AP$24)+($W$1*(2-(AP$14+AP$24)))+($W$1*(0-(X$14+X$24))))*$AO$7,0)</f>
        <v>4685</v>
      </c>
      <c r="D14" s="4">
        <f t="shared" ref="D14:R14" si="10">ROUND((($U$1*Y14)+($V$1*Y24)+($U$1*AQ14)+($V$1*AQ24)+($W$1*(2-(AQ14+AQ24)))+($W$1*(0-(Y14+Y24))))*$AO$7,0)</f>
        <v>4685</v>
      </c>
      <c r="E14" s="4">
        <f t="shared" si="10"/>
        <v>4685</v>
      </c>
      <c r="F14" s="4">
        <f t="shared" si="10"/>
        <v>4732</v>
      </c>
      <c r="G14" s="4">
        <f t="shared" si="10"/>
        <v>4732</v>
      </c>
      <c r="H14" s="4">
        <f t="shared" si="10"/>
        <v>4732</v>
      </c>
      <c r="I14" s="4">
        <f t="shared" si="10"/>
        <v>4732</v>
      </c>
      <c r="J14" s="4">
        <f t="shared" si="10"/>
        <v>4732</v>
      </c>
      <c r="K14" s="4">
        <f t="shared" si="10"/>
        <v>4732</v>
      </c>
      <c r="L14" s="4">
        <f t="shared" si="10"/>
        <v>4732</v>
      </c>
      <c r="M14" s="4">
        <f t="shared" si="10"/>
        <v>4732</v>
      </c>
      <c r="N14" s="4">
        <f t="shared" si="10"/>
        <v>4732</v>
      </c>
      <c r="O14" s="4">
        <f t="shared" si="10"/>
        <v>4732</v>
      </c>
      <c r="P14" s="4">
        <f t="shared" si="10"/>
        <v>4732</v>
      </c>
      <c r="Q14" s="4">
        <f t="shared" si="10"/>
        <v>4779</v>
      </c>
      <c r="R14" s="4">
        <f t="shared" si="10"/>
        <v>4825</v>
      </c>
      <c r="V14" s="4" t="s">
        <v>76</v>
      </c>
      <c r="W14" s="4" t="s">
        <v>62</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t="s">
        <v>76</v>
      </c>
      <c r="AO14" s="4" t="s">
        <v>62</v>
      </c>
      <c r="AP14" s="4">
        <v>2</v>
      </c>
      <c r="AQ14" s="4">
        <v>2</v>
      </c>
      <c r="AR14" s="4">
        <v>2</v>
      </c>
      <c r="AS14" s="4">
        <v>1.5</v>
      </c>
      <c r="AT14" s="4">
        <v>1.5</v>
      </c>
      <c r="AU14" s="4">
        <v>1.5</v>
      </c>
      <c r="AV14" s="4">
        <v>1.5</v>
      </c>
      <c r="AW14" s="4">
        <v>1.5</v>
      </c>
      <c r="AX14" s="4">
        <v>1.5</v>
      </c>
      <c r="AY14" s="4">
        <v>1.5</v>
      </c>
      <c r="AZ14" s="4">
        <v>1.5</v>
      </c>
      <c r="BA14" s="4">
        <v>1.5</v>
      </c>
      <c r="BB14" s="4">
        <v>1.5</v>
      </c>
      <c r="BC14" s="4">
        <v>1.5</v>
      </c>
      <c r="BD14" s="4">
        <v>1</v>
      </c>
      <c r="BE14" s="4">
        <v>0.5</v>
      </c>
      <c r="BG14" s="4" t="s">
        <v>76</v>
      </c>
      <c r="BH14" s="4" t="s">
        <v>74</v>
      </c>
      <c r="BI14" s="4">
        <v>0</v>
      </c>
      <c r="BJ14" s="4">
        <v>0</v>
      </c>
      <c r="BK14" s="4">
        <v>0</v>
      </c>
      <c r="BL14" s="4">
        <v>0</v>
      </c>
      <c r="BM14" s="4">
        <v>0</v>
      </c>
      <c r="BN14" s="4">
        <v>0</v>
      </c>
      <c r="BO14" s="4">
        <v>0</v>
      </c>
      <c r="BP14" s="4">
        <v>0</v>
      </c>
      <c r="BQ14" s="4">
        <v>0</v>
      </c>
      <c r="BR14" s="4">
        <v>0</v>
      </c>
      <c r="BS14" s="4">
        <v>0</v>
      </c>
      <c r="BT14" s="4">
        <v>0</v>
      </c>
      <c r="BU14" s="4">
        <v>0</v>
      </c>
      <c r="BV14" s="4">
        <v>0</v>
      </c>
      <c r="BW14" s="4">
        <v>0</v>
      </c>
      <c r="BX14" s="4">
        <v>0</v>
      </c>
    </row>
    <row r="15" spans="1:76" ht="14.1" customHeight="1">
      <c r="A15" s="10" t="s">
        <v>77</v>
      </c>
      <c r="B15" s="4">
        <v>1</v>
      </c>
      <c r="C15" s="4">
        <f>ROUND((($U$1*X$15)+($V$1*X$25)+($U$1*AP$15)+($V$1*AP$25)+($W$1*(1-(AP$15+AP$25)))+($W$1*(0-(X$15+X$25))))*$AO$7,0)</f>
        <v>2343</v>
      </c>
      <c r="D15" s="4">
        <f t="shared" ref="D15:R15" si="11">ROUND((($U$1*Y15)+($V$1*Y25)+($U$1*AQ15)+($V$1*AQ25)+($W$1*(1-(AQ15+AQ25)))+($W$1*(0-(Y15+Y25))))*$AO$7,0)</f>
        <v>2343</v>
      </c>
      <c r="E15" s="4">
        <f t="shared" si="11"/>
        <v>2343</v>
      </c>
      <c r="F15" s="4">
        <f t="shared" si="11"/>
        <v>2343</v>
      </c>
      <c r="G15" s="4">
        <f t="shared" si="11"/>
        <v>2343</v>
      </c>
      <c r="H15" s="4">
        <f t="shared" si="11"/>
        <v>2343</v>
      </c>
      <c r="I15" s="4">
        <f t="shared" si="11"/>
        <v>2343</v>
      </c>
      <c r="J15" s="4">
        <f t="shared" si="11"/>
        <v>2343</v>
      </c>
      <c r="K15" s="4">
        <f t="shared" si="11"/>
        <v>2343</v>
      </c>
      <c r="L15" s="4">
        <f t="shared" si="11"/>
        <v>2343</v>
      </c>
      <c r="M15" s="4">
        <f t="shared" si="11"/>
        <v>2343</v>
      </c>
      <c r="N15" s="4">
        <f t="shared" si="11"/>
        <v>2343</v>
      </c>
      <c r="O15" s="4">
        <f t="shared" si="11"/>
        <v>2343</v>
      </c>
      <c r="P15" s="4">
        <f t="shared" si="11"/>
        <v>2343</v>
      </c>
      <c r="Q15" s="4">
        <f t="shared" si="11"/>
        <v>2343</v>
      </c>
      <c r="R15" s="4">
        <f t="shared" si="11"/>
        <v>2389</v>
      </c>
      <c r="V15" s="4" t="s">
        <v>78</v>
      </c>
      <c r="W15" s="4" t="s">
        <v>62</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t="s">
        <v>78</v>
      </c>
      <c r="AO15" s="4" t="s">
        <v>62</v>
      </c>
      <c r="AP15" s="4">
        <v>1</v>
      </c>
      <c r="AQ15" s="4">
        <v>1</v>
      </c>
      <c r="AR15" s="4">
        <v>1</v>
      </c>
      <c r="AS15" s="4">
        <v>1</v>
      </c>
      <c r="AT15" s="4">
        <v>1</v>
      </c>
      <c r="AU15" s="4">
        <v>1</v>
      </c>
      <c r="AV15" s="4">
        <v>1</v>
      </c>
      <c r="AW15" s="4">
        <v>1</v>
      </c>
      <c r="AX15" s="4">
        <v>1</v>
      </c>
      <c r="AY15" s="4">
        <v>1</v>
      </c>
      <c r="AZ15" s="4">
        <v>1</v>
      </c>
      <c r="BA15" s="4">
        <v>1</v>
      </c>
      <c r="BB15" s="4">
        <v>1</v>
      </c>
      <c r="BC15" s="4">
        <v>1</v>
      </c>
      <c r="BD15" s="4">
        <v>1</v>
      </c>
      <c r="BE15" s="4">
        <v>0.5</v>
      </c>
      <c r="BG15" s="4" t="s">
        <v>78</v>
      </c>
      <c r="BH15" s="4" t="s">
        <v>74</v>
      </c>
      <c r="BI15" s="4">
        <v>0</v>
      </c>
      <c r="BJ15" s="4">
        <v>0</v>
      </c>
      <c r="BK15" s="4">
        <v>0</v>
      </c>
      <c r="BL15" s="4">
        <v>0</v>
      </c>
      <c r="BM15" s="4">
        <v>0</v>
      </c>
      <c r="BN15" s="4">
        <v>0</v>
      </c>
      <c r="BO15" s="4">
        <v>0</v>
      </c>
      <c r="BP15" s="4">
        <v>0</v>
      </c>
      <c r="BQ15" s="4">
        <v>0</v>
      </c>
      <c r="BR15" s="4">
        <v>0</v>
      </c>
      <c r="BS15" s="4">
        <v>0</v>
      </c>
      <c r="BT15" s="4">
        <v>0</v>
      </c>
      <c r="BU15" s="4">
        <v>0</v>
      </c>
      <c r="BV15" s="4">
        <v>0</v>
      </c>
      <c r="BW15" s="4">
        <v>0</v>
      </c>
      <c r="BX15" s="4">
        <v>0</v>
      </c>
    </row>
    <row r="16" spans="1:76" ht="14.1" customHeight="1">
      <c r="V16" s="117" t="s">
        <v>53</v>
      </c>
      <c r="W16" s="112">
        <v>0.5</v>
      </c>
      <c r="X16" s="14"/>
      <c r="AN16" s="117" t="s">
        <v>53</v>
      </c>
      <c r="AO16" s="112">
        <f>+W7</f>
        <v>0.5</v>
      </c>
    </row>
    <row r="17" spans="1:57" ht="14.1" customHeight="1">
      <c r="A17" s="11" t="s">
        <v>270</v>
      </c>
      <c r="B17" s="12"/>
      <c r="C17" s="1"/>
      <c r="D17" s="1"/>
      <c r="E17" s="1"/>
      <c r="F17" s="1"/>
      <c r="G17" s="1"/>
      <c r="H17" s="1"/>
      <c r="I17" s="1"/>
      <c r="J17" s="1"/>
      <c r="K17" s="1"/>
      <c r="L17" s="1"/>
      <c r="M17" s="1"/>
      <c r="N17" s="1"/>
      <c r="O17" s="1"/>
      <c r="P17" s="1"/>
      <c r="Q17" s="1"/>
      <c r="R17" s="1"/>
      <c r="V17" s="115" t="s">
        <v>79</v>
      </c>
      <c r="W17" s="116"/>
      <c r="X17" s="110">
        <f t="shared" ref="X17:AM17" si="12">+C19</f>
        <v>44012</v>
      </c>
      <c r="Y17" s="110">
        <f t="shared" si="12"/>
        <v>44027</v>
      </c>
      <c r="Z17" s="110">
        <f t="shared" si="12"/>
        <v>44043</v>
      </c>
      <c r="AA17" s="110">
        <f t="shared" si="12"/>
        <v>44058</v>
      </c>
      <c r="AB17" s="110">
        <f t="shared" si="12"/>
        <v>44074</v>
      </c>
      <c r="AC17" s="110">
        <f t="shared" si="12"/>
        <v>44104</v>
      </c>
      <c r="AD17" s="110">
        <f t="shared" si="12"/>
        <v>44135</v>
      </c>
      <c r="AE17" s="110">
        <f t="shared" si="12"/>
        <v>44165</v>
      </c>
      <c r="AF17" s="110">
        <f t="shared" si="12"/>
        <v>44196</v>
      </c>
      <c r="AG17" s="110">
        <f t="shared" si="12"/>
        <v>44227</v>
      </c>
      <c r="AH17" s="110">
        <f t="shared" si="12"/>
        <v>44255</v>
      </c>
      <c r="AI17" s="110">
        <f t="shared" si="12"/>
        <v>44286</v>
      </c>
      <c r="AJ17" s="110">
        <f t="shared" si="12"/>
        <v>44316</v>
      </c>
      <c r="AK17" s="110">
        <f t="shared" si="12"/>
        <v>44331</v>
      </c>
      <c r="AL17" s="110">
        <f t="shared" si="12"/>
        <v>44347</v>
      </c>
      <c r="AM17" s="110">
        <f t="shared" si="12"/>
        <v>44362</v>
      </c>
      <c r="AN17" s="115"/>
      <c r="AO17" s="116"/>
      <c r="AP17" s="110">
        <f t="shared" ref="AP17:BE17" si="13">+X17</f>
        <v>44012</v>
      </c>
      <c r="AQ17" s="110">
        <f t="shared" si="13"/>
        <v>44027</v>
      </c>
      <c r="AR17" s="110">
        <f t="shared" si="13"/>
        <v>44043</v>
      </c>
      <c r="AS17" s="110">
        <f t="shared" si="13"/>
        <v>44058</v>
      </c>
      <c r="AT17" s="110">
        <f t="shared" si="13"/>
        <v>44074</v>
      </c>
      <c r="AU17" s="110">
        <f t="shared" si="13"/>
        <v>44104</v>
      </c>
      <c r="AV17" s="110">
        <f t="shared" si="13"/>
        <v>44135</v>
      </c>
      <c r="AW17" s="110">
        <f t="shared" si="13"/>
        <v>44165</v>
      </c>
      <c r="AX17" s="110">
        <f t="shared" si="13"/>
        <v>44196</v>
      </c>
      <c r="AY17" s="110">
        <f t="shared" si="13"/>
        <v>44227</v>
      </c>
      <c r="AZ17" s="110">
        <f t="shared" si="13"/>
        <v>44255</v>
      </c>
      <c r="BA17" s="110">
        <f t="shared" si="13"/>
        <v>44286</v>
      </c>
      <c r="BB17" s="110">
        <f t="shared" si="13"/>
        <v>44316</v>
      </c>
      <c r="BC17" s="110">
        <f t="shared" si="13"/>
        <v>44331</v>
      </c>
      <c r="BD17" s="110">
        <f t="shared" si="13"/>
        <v>44347</v>
      </c>
      <c r="BE17" s="110">
        <f t="shared" si="13"/>
        <v>44362</v>
      </c>
    </row>
    <row r="18" spans="1:57" ht="14.1" customHeight="1">
      <c r="A18" s="11"/>
      <c r="B18" s="13" t="s">
        <v>54</v>
      </c>
      <c r="C18" s="1"/>
      <c r="D18" s="1"/>
      <c r="E18" s="1"/>
      <c r="F18" s="1"/>
      <c r="G18" s="1"/>
      <c r="H18" s="1"/>
      <c r="I18" s="1"/>
      <c r="J18" s="1"/>
      <c r="K18" s="1"/>
      <c r="L18" s="1"/>
      <c r="M18" s="1"/>
      <c r="N18" s="1"/>
      <c r="O18" s="1"/>
      <c r="P18" s="1"/>
      <c r="Q18" s="1"/>
      <c r="R18" s="1"/>
      <c r="X18" s="20"/>
      <c r="Y18" s="20"/>
      <c r="Z18" s="20"/>
      <c r="AA18" s="20"/>
      <c r="AB18" s="20"/>
      <c r="AC18" s="20"/>
      <c r="AD18" s="20"/>
      <c r="AE18" s="20"/>
      <c r="AF18" s="20"/>
      <c r="AG18" s="20"/>
      <c r="AH18" s="20"/>
      <c r="AI18" s="20"/>
      <c r="AJ18" s="20"/>
      <c r="AK18" s="20"/>
      <c r="AL18" s="20"/>
      <c r="AM18" s="20"/>
      <c r="AN18" s="20"/>
      <c r="AP18" s="20"/>
      <c r="AQ18" s="20"/>
      <c r="AR18" s="20"/>
      <c r="AS18" s="20"/>
      <c r="AT18" s="20"/>
      <c r="AU18" s="20"/>
      <c r="AV18" s="20"/>
      <c r="AW18" s="20"/>
      <c r="AX18" s="20"/>
      <c r="AY18" s="20"/>
      <c r="AZ18" s="20"/>
      <c r="BA18" s="20"/>
      <c r="BB18" s="20"/>
      <c r="BC18" s="20"/>
      <c r="BD18" s="20"/>
      <c r="BE18" s="20"/>
    </row>
    <row r="19" spans="1:57" ht="14.1" customHeight="1">
      <c r="A19" s="16"/>
      <c r="B19" s="17" t="s">
        <v>58</v>
      </c>
      <c r="C19" s="18">
        <f t="shared" ref="C19:R19" si="14">+C8</f>
        <v>44012</v>
      </c>
      <c r="D19" s="18">
        <f t="shared" si="14"/>
        <v>44027</v>
      </c>
      <c r="E19" s="18">
        <f t="shared" si="14"/>
        <v>44043</v>
      </c>
      <c r="F19" s="18">
        <f t="shared" si="14"/>
        <v>44058</v>
      </c>
      <c r="G19" s="18">
        <f t="shared" si="14"/>
        <v>44074</v>
      </c>
      <c r="H19" s="18">
        <f t="shared" si="14"/>
        <v>44104</v>
      </c>
      <c r="I19" s="18">
        <f t="shared" si="14"/>
        <v>44135</v>
      </c>
      <c r="J19" s="18">
        <f t="shared" si="14"/>
        <v>44165</v>
      </c>
      <c r="K19" s="18">
        <f t="shared" si="14"/>
        <v>44196</v>
      </c>
      <c r="L19" s="18">
        <f t="shared" si="14"/>
        <v>44227</v>
      </c>
      <c r="M19" s="18">
        <f t="shared" si="14"/>
        <v>44255</v>
      </c>
      <c r="N19" s="18">
        <f t="shared" si="14"/>
        <v>44286</v>
      </c>
      <c r="O19" s="18">
        <f t="shared" si="14"/>
        <v>44316</v>
      </c>
      <c r="P19" s="18">
        <f t="shared" si="14"/>
        <v>44331</v>
      </c>
      <c r="Q19" s="18">
        <f t="shared" si="14"/>
        <v>44347</v>
      </c>
      <c r="R19" s="18">
        <f t="shared" si="14"/>
        <v>44362</v>
      </c>
      <c r="V19" s="4" t="s">
        <v>60</v>
      </c>
      <c r="W19" s="4" t="s">
        <v>63</v>
      </c>
      <c r="X19" s="4">
        <v>0</v>
      </c>
      <c r="Y19" s="4">
        <v>0</v>
      </c>
      <c r="Z19" s="4">
        <v>0</v>
      </c>
      <c r="AA19" s="4">
        <v>0</v>
      </c>
      <c r="AB19" s="4">
        <v>0.5</v>
      </c>
      <c r="AC19" s="4">
        <v>1.5</v>
      </c>
      <c r="AD19" s="4">
        <v>2.5</v>
      </c>
      <c r="AE19" s="4">
        <v>3.5</v>
      </c>
      <c r="AF19" s="4">
        <v>4.5</v>
      </c>
      <c r="AG19" s="4">
        <v>5.5</v>
      </c>
      <c r="AH19" s="4">
        <v>6.5</v>
      </c>
      <c r="AI19" s="4">
        <v>7.5</v>
      </c>
      <c r="AJ19" s="4">
        <v>8.5</v>
      </c>
      <c r="AK19" s="4">
        <v>9</v>
      </c>
      <c r="AL19" s="4">
        <v>9</v>
      </c>
      <c r="AM19" s="4">
        <v>9</v>
      </c>
      <c r="AN19" s="4" t="s">
        <v>60</v>
      </c>
      <c r="AO19" s="4" t="s">
        <v>74</v>
      </c>
      <c r="AP19" s="4">
        <f t="shared" ref="AP19:BE19" si="15">3-AP9</f>
        <v>0</v>
      </c>
      <c r="AQ19" s="4">
        <f t="shared" si="15"/>
        <v>0.5</v>
      </c>
      <c r="AR19" s="4">
        <f t="shared" si="15"/>
        <v>1</v>
      </c>
      <c r="AS19" s="4">
        <f t="shared" si="15"/>
        <v>1.5</v>
      </c>
      <c r="AT19" s="4">
        <f t="shared" si="15"/>
        <v>1.5</v>
      </c>
      <c r="AU19" s="4">
        <f t="shared" si="15"/>
        <v>1.5</v>
      </c>
      <c r="AV19" s="4">
        <f t="shared" si="15"/>
        <v>1.5</v>
      </c>
      <c r="AW19" s="4">
        <f t="shared" si="15"/>
        <v>1.5</v>
      </c>
      <c r="AX19" s="4">
        <f t="shared" si="15"/>
        <v>1.5</v>
      </c>
      <c r="AY19" s="4">
        <f t="shared" si="15"/>
        <v>1.5</v>
      </c>
      <c r="AZ19" s="4">
        <f t="shared" si="15"/>
        <v>1.5</v>
      </c>
      <c r="BA19" s="4">
        <f t="shared" si="15"/>
        <v>1.5</v>
      </c>
      <c r="BB19" s="4">
        <f t="shared" si="15"/>
        <v>1.5</v>
      </c>
      <c r="BC19" s="4">
        <f t="shared" si="15"/>
        <v>1.5</v>
      </c>
      <c r="BD19" s="4">
        <f t="shared" si="15"/>
        <v>2</v>
      </c>
      <c r="BE19" s="4">
        <f t="shared" si="15"/>
        <v>2.5</v>
      </c>
    </row>
    <row r="20" spans="1:57" ht="14.1" customHeight="1">
      <c r="A20" s="10" t="s">
        <v>59</v>
      </c>
      <c r="B20" s="4">
        <v>12</v>
      </c>
      <c r="C20" s="4">
        <f t="shared" ref="C20:R20" si="16">ROUND((($U$2*X$9)+($V$2*X$19)+($U$2*AP$9)+($V$2*AP$19)+($W$2*(3-(AP$9+AP$19)))+($W$2*(9-(X$9+X$19))))*$AO$7,0)</f>
        <v>25194</v>
      </c>
      <c r="D20" s="4">
        <f t="shared" si="16"/>
        <v>25236</v>
      </c>
      <c r="E20" s="4">
        <f t="shared" si="16"/>
        <v>25278</v>
      </c>
      <c r="F20" s="4">
        <f t="shared" si="16"/>
        <v>25320</v>
      </c>
      <c r="G20" s="4">
        <f t="shared" si="16"/>
        <v>25362</v>
      </c>
      <c r="H20" s="4">
        <f t="shared" si="16"/>
        <v>25446</v>
      </c>
      <c r="I20" s="4">
        <f t="shared" si="16"/>
        <v>25530</v>
      </c>
      <c r="J20" s="4">
        <f t="shared" si="16"/>
        <v>25614</v>
      </c>
      <c r="K20" s="4">
        <f t="shared" si="16"/>
        <v>25698</v>
      </c>
      <c r="L20" s="4">
        <f t="shared" si="16"/>
        <v>25782</v>
      </c>
      <c r="M20" s="4">
        <f t="shared" si="16"/>
        <v>25866</v>
      </c>
      <c r="N20" s="4">
        <f t="shared" si="16"/>
        <v>25950</v>
      </c>
      <c r="O20" s="4">
        <f t="shared" si="16"/>
        <v>26034</v>
      </c>
      <c r="P20" s="4">
        <f t="shared" si="16"/>
        <v>26076</v>
      </c>
      <c r="Q20" s="4">
        <f t="shared" si="16"/>
        <v>26118</v>
      </c>
      <c r="R20" s="4">
        <f t="shared" si="16"/>
        <v>26160</v>
      </c>
      <c r="V20" s="4" t="s">
        <v>65</v>
      </c>
      <c r="W20" s="4" t="s">
        <v>67</v>
      </c>
      <c r="X20" s="4">
        <v>0</v>
      </c>
      <c r="Y20" s="4">
        <v>0</v>
      </c>
      <c r="Z20" s="4">
        <v>0</v>
      </c>
      <c r="AA20" s="4">
        <v>0</v>
      </c>
      <c r="AB20" s="4">
        <v>0.5</v>
      </c>
      <c r="AC20" s="4">
        <v>1.5</v>
      </c>
      <c r="AD20" s="4">
        <v>2.5</v>
      </c>
      <c r="AE20" s="4">
        <v>3.5</v>
      </c>
      <c r="AF20" s="4">
        <v>4.5</v>
      </c>
      <c r="AG20" s="4">
        <v>5.5</v>
      </c>
      <c r="AH20" s="4">
        <v>6.5</v>
      </c>
      <c r="AI20" s="4">
        <v>7.5</v>
      </c>
      <c r="AJ20" s="4">
        <v>8.5</v>
      </c>
      <c r="AK20" s="4">
        <v>9</v>
      </c>
      <c r="AL20" s="4">
        <v>9</v>
      </c>
      <c r="AM20" s="4">
        <v>9</v>
      </c>
      <c r="AN20" s="4" t="s">
        <v>65</v>
      </c>
      <c r="AO20" s="4" t="s">
        <v>74</v>
      </c>
      <c r="AP20" s="4">
        <f t="shared" ref="AP20:BE20" si="17">2-AP10</f>
        <v>0</v>
      </c>
      <c r="AQ20" s="4">
        <f t="shared" si="17"/>
        <v>0</v>
      </c>
      <c r="AR20" s="4">
        <f t="shared" si="17"/>
        <v>0</v>
      </c>
      <c r="AS20" s="4">
        <f t="shared" si="17"/>
        <v>0.5</v>
      </c>
      <c r="AT20" s="4">
        <f t="shared" si="17"/>
        <v>0.5</v>
      </c>
      <c r="AU20" s="4">
        <f t="shared" si="17"/>
        <v>0.5</v>
      </c>
      <c r="AV20" s="4">
        <f t="shared" si="17"/>
        <v>0.5</v>
      </c>
      <c r="AW20" s="4">
        <f t="shared" si="17"/>
        <v>0.5</v>
      </c>
      <c r="AX20" s="4">
        <f t="shared" si="17"/>
        <v>0.5</v>
      </c>
      <c r="AY20" s="4">
        <f t="shared" si="17"/>
        <v>0.5</v>
      </c>
      <c r="AZ20" s="4">
        <f t="shared" si="17"/>
        <v>0.5</v>
      </c>
      <c r="BA20" s="4">
        <f t="shared" si="17"/>
        <v>0.5</v>
      </c>
      <c r="BB20" s="4">
        <f t="shared" si="17"/>
        <v>0.5</v>
      </c>
      <c r="BC20" s="4">
        <f t="shared" si="17"/>
        <v>0.5</v>
      </c>
      <c r="BD20" s="4">
        <f t="shared" si="17"/>
        <v>1</v>
      </c>
      <c r="BE20" s="4">
        <f t="shared" si="17"/>
        <v>1.5</v>
      </c>
    </row>
    <row r="21" spans="1:57" ht="14.1" customHeight="1">
      <c r="A21" s="10" t="s">
        <v>64</v>
      </c>
      <c r="B21" s="4">
        <v>11</v>
      </c>
      <c r="C21" s="4">
        <f t="shared" ref="C21:R21" si="18">ROUND((($U$2*X$10)+($V$2*X$20)+($U$2*AP$10)+($V$2*AP$20)+($W$2*(2-(AP$10+AP$20)))+($W$2*(9-(X$10+X$20))))*$AO$7,0)</f>
        <v>23095</v>
      </c>
      <c r="D21" s="4">
        <f t="shared" si="18"/>
        <v>23095</v>
      </c>
      <c r="E21" s="4">
        <f t="shared" si="18"/>
        <v>23095</v>
      </c>
      <c r="F21" s="4">
        <f t="shared" si="18"/>
        <v>23137</v>
      </c>
      <c r="G21" s="4">
        <f t="shared" si="18"/>
        <v>23179</v>
      </c>
      <c r="H21" s="4">
        <f t="shared" si="18"/>
        <v>23263</v>
      </c>
      <c r="I21" s="4">
        <f t="shared" si="18"/>
        <v>23347</v>
      </c>
      <c r="J21" s="4">
        <f t="shared" si="18"/>
        <v>23431</v>
      </c>
      <c r="K21" s="4">
        <f t="shared" si="18"/>
        <v>23515</v>
      </c>
      <c r="L21" s="4">
        <f t="shared" si="18"/>
        <v>23599</v>
      </c>
      <c r="M21" s="4">
        <f t="shared" si="18"/>
        <v>23683</v>
      </c>
      <c r="N21" s="4">
        <f t="shared" si="18"/>
        <v>23767</v>
      </c>
      <c r="O21" s="4">
        <f t="shared" si="18"/>
        <v>23851</v>
      </c>
      <c r="P21" s="4">
        <f t="shared" si="18"/>
        <v>23893</v>
      </c>
      <c r="Q21" s="4">
        <f t="shared" si="18"/>
        <v>23935</v>
      </c>
      <c r="R21" s="4">
        <f t="shared" si="18"/>
        <v>23977</v>
      </c>
      <c r="V21" s="4" t="s">
        <v>69</v>
      </c>
      <c r="W21" s="4" t="s">
        <v>67</v>
      </c>
      <c r="X21" s="4">
        <v>0</v>
      </c>
      <c r="Y21" s="4">
        <v>0</v>
      </c>
      <c r="Z21" s="4">
        <v>0</v>
      </c>
      <c r="AA21" s="4">
        <v>0</v>
      </c>
      <c r="AB21" s="4">
        <v>0.5</v>
      </c>
      <c r="AC21" s="4">
        <v>1.5</v>
      </c>
      <c r="AD21" s="4">
        <v>2.5</v>
      </c>
      <c r="AE21" s="4">
        <v>3.5</v>
      </c>
      <c r="AF21" s="4">
        <v>4.5</v>
      </c>
      <c r="AG21" s="4">
        <v>5.5</v>
      </c>
      <c r="AH21" s="4">
        <v>6.5</v>
      </c>
      <c r="AI21" s="4">
        <v>7.5</v>
      </c>
      <c r="AJ21" s="4">
        <v>8.5</v>
      </c>
      <c r="AK21" s="4">
        <v>9</v>
      </c>
      <c r="AL21" s="4">
        <v>9</v>
      </c>
      <c r="AM21" s="4">
        <v>9</v>
      </c>
      <c r="AN21" s="4" t="s">
        <v>69</v>
      </c>
      <c r="AO21" s="4" t="s">
        <v>74</v>
      </c>
      <c r="AP21" s="4">
        <f t="shared" ref="AP21:BE21" si="19">1-AP11</f>
        <v>0</v>
      </c>
      <c r="AQ21" s="4">
        <f t="shared" si="19"/>
        <v>0</v>
      </c>
      <c r="AR21" s="4">
        <f t="shared" si="19"/>
        <v>0</v>
      </c>
      <c r="AS21" s="4">
        <f t="shared" si="19"/>
        <v>0</v>
      </c>
      <c r="AT21" s="4">
        <f t="shared" si="19"/>
        <v>0</v>
      </c>
      <c r="AU21" s="4">
        <f t="shared" si="19"/>
        <v>0</v>
      </c>
      <c r="AV21" s="4">
        <f t="shared" si="19"/>
        <v>0</v>
      </c>
      <c r="AW21" s="4">
        <f t="shared" si="19"/>
        <v>0</v>
      </c>
      <c r="AX21" s="4">
        <f t="shared" si="19"/>
        <v>0</v>
      </c>
      <c r="AY21" s="4">
        <f t="shared" si="19"/>
        <v>0</v>
      </c>
      <c r="AZ21" s="4">
        <f t="shared" si="19"/>
        <v>0</v>
      </c>
      <c r="BA21" s="4">
        <f t="shared" si="19"/>
        <v>0</v>
      </c>
      <c r="BB21" s="4">
        <f t="shared" si="19"/>
        <v>0</v>
      </c>
      <c r="BC21" s="4">
        <f t="shared" si="19"/>
        <v>0</v>
      </c>
      <c r="BD21" s="4">
        <f t="shared" si="19"/>
        <v>0</v>
      </c>
      <c r="BE21" s="4">
        <f t="shared" si="19"/>
        <v>0.5</v>
      </c>
    </row>
    <row r="22" spans="1:57" ht="14.1" customHeight="1">
      <c r="A22" s="10" t="s">
        <v>68</v>
      </c>
      <c r="B22" s="4">
        <v>10</v>
      </c>
      <c r="C22" s="4">
        <f t="shared" ref="C22:R22" si="20">ROUND((($U$2*X$11)+($V$2*X$21)+($U$2*AP$11)+($V$2*AP$21)+($W$2*(1-(AP$11+AP$21)))+($W$2*(9-(X$11+X$21))))*$AO$7,0)</f>
        <v>20995</v>
      </c>
      <c r="D22" s="4">
        <f t="shared" si="20"/>
        <v>20995</v>
      </c>
      <c r="E22" s="4">
        <f t="shared" si="20"/>
        <v>20995</v>
      </c>
      <c r="F22" s="4">
        <f t="shared" si="20"/>
        <v>20995</v>
      </c>
      <c r="G22" s="4">
        <f t="shared" si="20"/>
        <v>21037</v>
      </c>
      <c r="H22" s="4">
        <f t="shared" si="20"/>
        <v>21121</v>
      </c>
      <c r="I22" s="4">
        <f t="shared" si="20"/>
        <v>21205</v>
      </c>
      <c r="J22" s="4">
        <f t="shared" si="20"/>
        <v>21289</v>
      </c>
      <c r="K22" s="4">
        <f t="shared" si="20"/>
        <v>21373</v>
      </c>
      <c r="L22" s="4">
        <f t="shared" si="20"/>
        <v>21457</v>
      </c>
      <c r="M22" s="4">
        <f t="shared" si="20"/>
        <v>21541</v>
      </c>
      <c r="N22" s="4">
        <f t="shared" si="20"/>
        <v>21625</v>
      </c>
      <c r="O22" s="4">
        <f t="shared" si="20"/>
        <v>21709</v>
      </c>
      <c r="P22" s="4">
        <f t="shared" si="20"/>
        <v>21751</v>
      </c>
      <c r="Q22" s="4">
        <f t="shared" si="20"/>
        <v>21751</v>
      </c>
      <c r="R22" s="4">
        <f t="shared" si="20"/>
        <v>21793</v>
      </c>
      <c r="V22" s="4" t="s">
        <v>71</v>
      </c>
      <c r="W22" s="4" t="s">
        <v>67</v>
      </c>
      <c r="X22" s="4">
        <v>0</v>
      </c>
      <c r="Y22" s="4">
        <v>0</v>
      </c>
      <c r="Z22" s="4">
        <v>0</v>
      </c>
      <c r="AA22" s="4">
        <v>0</v>
      </c>
      <c r="AB22" s="4">
        <v>0.5</v>
      </c>
      <c r="AC22" s="4">
        <v>1.5</v>
      </c>
      <c r="AD22" s="4">
        <v>2.5</v>
      </c>
      <c r="AE22" s="4">
        <v>3.5</v>
      </c>
      <c r="AF22" s="4">
        <v>4.5</v>
      </c>
      <c r="AG22" s="4">
        <v>5.5</v>
      </c>
      <c r="AH22" s="4">
        <v>6.5</v>
      </c>
      <c r="AI22" s="4">
        <v>7.5</v>
      </c>
      <c r="AJ22" s="4">
        <v>8.5</v>
      </c>
      <c r="AK22" s="4">
        <v>9</v>
      </c>
      <c r="AL22" s="4">
        <v>9</v>
      </c>
      <c r="AM22" s="4">
        <v>9</v>
      </c>
      <c r="AN22" s="4" t="s">
        <v>71</v>
      </c>
      <c r="AO22" s="4" t="s">
        <v>74</v>
      </c>
      <c r="AP22" s="4">
        <v>0</v>
      </c>
      <c r="AQ22" s="4">
        <v>0</v>
      </c>
      <c r="AR22" s="4">
        <v>0</v>
      </c>
      <c r="AS22" s="4">
        <v>0</v>
      </c>
      <c r="AT22" s="4">
        <v>0</v>
      </c>
      <c r="AU22" s="4">
        <v>0</v>
      </c>
      <c r="AV22" s="4">
        <v>0</v>
      </c>
      <c r="AW22" s="4">
        <v>0</v>
      </c>
      <c r="AX22" s="4">
        <v>0</v>
      </c>
      <c r="AY22" s="4">
        <v>0</v>
      </c>
      <c r="AZ22" s="4">
        <v>0</v>
      </c>
      <c r="BA22" s="4">
        <v>0</v>
      </c>
      <c r="BB22" s="4">
        <v>0</v>
      </c>
      <c r="BC22" s="4">
        <v>0</v>
      </c>
      <c r="BD22" s="4">
        <v>0</v>
      </c>
      <c r="BE22" s="4">
        <v>0</v>
      </c>
    </row>
    <row r="23" spans="1:57" ht="14.1" customHeight="1">
      <c r="A23" s="10" t="s">
        <v>70</v>
      </c>
      <c r="B23" s="4">
        <v>9</v>
      </c>
      <c r="C23" s="4">
        <f t="shared" ref="C23:R23" si="21">ROUND((($U$2*X$12)+($V$2*X$22)+($U$2*AP$12)+($V$2*AP$22)+($W$2*(0-(AP$12+AP$22)))+($W$2*(9-(X$12+X$22))))*$AO$7,0)</f>
        <v>18896</v>
      </c>
      <c r="D23" s="4">
        <f t="shared" si="21"/>
        <v>18896</v>
      </c>
      <c r="E23" s="4">
        <f t="shared" si="21"/>
        <v>18896</v>
      </c>
      <c r="F23" s="4">
        <f t="shared" si="21"/>
        <v>18896</v>
      </c>
      <c r="G23" s="4">
        <f t="shared" si="21"/>
        <v>18938</v>
      </c>
      <c r="H23" s="4">
        <f t="shared" si="21"/>
        <v>19022</v>
      </c>
      <c r="I23" s="4">
        <f t="shared" si="21"/>
        <v>19106</v>
      </c>
      <c r="J23" s="4">
        <f t="shared" si="21"/>
        <v>19190</v>
      </c>
      <c r="K23" s="4">
        <f t="shared" si="21"/>
        <v>19274</v>
      </c>
      <c r="L23" s="4">
        <f t="shared" si="21"/>
        <v>19358</v>
      </c>
      <c r="M23" s="4">
        <f t="shared" si="21"/>
        <v>19442</v>
      </c>
      <c r="N23" s="4">
        <f t="shared" si="21"/>
        <v>19526</v>
      </c>
      <c r="O23" s="4">
        <f t="shared" si="21"/>
        <v>19610</v>
      </c>
      <c r="P23" s="4">
        <f t="shared" si="21"/>
        <v>19652</v>
      </c>
      <c r="Q23" s="4">
        <f t="shared" si="21"/>
        <v>19652</v>
      </c>
      <c r="R23" s="4">
        <f t="shared" si="21"/>
        <v>19652</v>
      </c>
      <c r="V23" s="4" t="s">
        <v>73</v>
      </c>
      <c r="W23" s="4" t="s">
        <v>74</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t="s">
        <v>73</v>
      </c>
      <c r="AO23" s="4" t="s">
        <v>74</v>
      </c>
      <c r="AP23" s="4">
        <f t="shared" ref="AP23:BE23" si="22">3-AP13</f>
        <v>0</v>
      </c>
      <c r="AQ23" s="4">
        <f t="shared" si="22"/>
        <v>0.5</v>
      </c>
      <c r="AR23" s="4">
        <f t="shared" si="22"/>
        <v>1</v>
      </c>
      <c r="AS23" s="4">
        <f t="shared" si="22"/>
        <v>1.5</v>
      </c>
      <c r="AT23" s="4">
        <f t="shared" si="22"/>
        <v>1.5</v>
      </c>
      <c r="AU23" s="4">
        <f t="shared" si="22"/>
        <v>1.5</v>
      </c>
      <c r="AV23" s="4">
        <f t="shared" si="22"/>
        <v>1.5</v>
      </c>
      <c r="AW23" s="4">
        <f t="shared" si="22"/>
        <v>1.5</v>
      </c>
      <c r="AX23" s="4">
        <f t="shared" si="22"/>
        <v>1.5</v>
      </c>
      <c r="AY23" s="4">
        <f t="shared" si="22"/>
        <v>1.5</v>
      </c>
      <c r="AZ23" s="4">
        <f t="shared" si="22"/>
        <v>1.5</v>
      </c>
      <c r="BA23" s="4">
        <f t="shared" si="22"/>
        <v>1.5</v>
      </c>
      <c r="BB23" s="4">
        <f t="shared" si="22"/>
        <v>1.5</v>
      </c>
      <c r="BC23" s="4">
        <f t="shared" si="22"/>
        <v>1.5</v>
      </c>
      <c r="BD23" s="4">
        <f t="shared" si="22"/>
        <v>2</v>
      </c>
      <c r="BE23" s="4">
        <f t="shared" si="22"/>
        <v>2.5</v>
      </c>
    </row>
    <row r="24" spans="1:57" ht="14.1" customHeight="1">
      <c r="A24" s="10" t="s">
        <v>72</v>
      </c>
      <c r="B24" s="4">
        <v>3</v>
      </c>
      <c r="C24" s="4">
        <f t="shared" ref="C24:R24" si="23">ROUND((($U$2*X$13)+($V$2*X$23)+($U$2*AP$13)+($V$2*AP$23)+($W$2*(3-(AP$13+AP$23)))+($W$2*(0-(X$13+X$23))))*$AO$7,0)</f>
        <v>6299</v>
      </c>
      <c r="D24" s="4">
        <f t="shared" si="23"/>
        <v>6341</v>
      </c>
      <c r="E24" s="4">
        <f t="shared" si="23"/>
        <v>6383</v>
      </c>
      <c r="F24" s="4">
        <f t="shared" si="23"/>
        <v>6425</v>
      </c>
      <c r="G24" s="4">
        <f t="shared" si="23"/>
        <v>6425</v>
      </c>
      <c r="H24" s="4">
        <f t="shared" si="23"/>
        <v>6425</v>
      </c>
      <c r="I24" s="4">
        <f t="shared" si="23"/>
        <v>6425</v>
      </c>
      <c r="J24" s="4">
        <f t="shared" si="23"/>
        <v>6425</v>
      </c>
      <c r="K24" s="4">
        <f t="shared" si="23"/>
        <v>6425</v>
      </c>
      <c r="L24" s="4">
        <f t="shared" si="23"/>
        <v>6425</v>
      </c>
      <c r="M24" s="4">
        <f t="shared" si="23"/>
        <v>6425</v>
      </c>
      <c r="N24" s="4">
        <f t="shared" si="23"/>
        <v>6425</v>
      </c>
      <c r="O24" s="4">
        <f t="shared" si="23"/>
        <v>6425</v>
      </c>
      <c r="P24" s="4">
        <f t="shared" si="23"/>
        <v>6425</v>
      </c>
      <c r="Q24" s="4">
        <f t="shared" si="23"/>
        <v>6467</v>
      </c>
      <c r="R24" s="4">
        <f t="shared" si="23"/>
        <v>6509</v>
      </c>
      <c r="V24" s="4" t="s">
        <v>76</v>
      </c>
      <c r="W24" s="4" t="s">
        <v>74</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t="s">
        <v>76</v>
      </c>
      <c r="AO24" s="4" t="s">
        <v>74</v>
      </c>
      <c r="AP24" s="4">
        <f t="shared" ref="AP24:BE24" si="24">2-AP14</f>
        <v>0</v>
      </c>
      <c r="AQ24" s="4">
        <f t="shared" si="24"/>
        <v>0</v>
      </c>
      <c r="AR24" s="4">
        <f t="shared" si="24"/>
        <v>0</v>
      </c>
      <c r="AS24" s="4">
        <f t="shared" si="24"/>
        <v>0.5</v>
      </c>
      <c r="AT24" s="4">
        <f t="shared" si="24"/>
        <v>0.5</v>
      </c>
      <c r="AU24" s="4">
        <f t="shared" si="24"/>
        <v>0.5</v>
      </c>
      <c r="AV24" s="4">
        <f t="shared" si="24"/>
        <v>0.5</v>
      </c>
      <c r="AW24" s="4">
        <f t="shared" si="24"/>
        <v>0.5</v>
      </c>
      <c r="AX24" s="4">
        <f t="shared" si="24"/>
        <v>0.5</v>
      </c>
      <c r="AY24" s="4">
        <f t="shared" si="24"/>
        <v>0.5</v>
      </c>
      <c r="AZ24" s="4">
        <f t="shared" si="24"/>
        <v>0.5</v>
      </c>
      <c r="BA24" s="4">
        <f t="shared" si="24"/>
        <v>0.5</v>
      </c>
      <c r="BB24" s="4">
        <f t="shared" si="24"/>
        <v>0.5</v>
      </c>
      <c r="BC24" s="4">
        <f t="shared" si="24"/>
        <v>0.5</v>
      </c>
      <c r="BD24" s="4">
        <f t="shared" si="24"/>
        <v>1</v>
      </c>
      <c r="BE24" s="4">
        <f t="shared" si="24"/>
        <v>1.5</v>
      </c>
    </row>
    <row r="25" spans="1:57" ht="14.1" customHeight="1">
      <c r="A25" s="10" t="s">
        <v>75</v>
      </c>
      <c r="B25" s="4">
        <v>2</v>
      </c>
      <c r="C25" s="4">
        <f t="shared" ref="C25:R25" si="25">ROUND((($U$2*X$14)+($V$2*X$24)+($U$2*AP$14)+($V$2*AP$24)+($W$2*(2-(AP$14+AP$24)))+($W$2*(0-(X$14+X$24))))*$AO$7,0)</f>
        <v>4199</v>
      </c>
      <c r="D25" s="4">
        <f t="shared" si="25"/>
        <v>4199</v>
      </c>
      <c r="E25" s="4">
        <f t="shared" si="25"/>
        <v>4199</v>
      </c>
      <c r="F25" s="4">
        <f t="shared" si="25"/>
        <v>4241</v>
      </c>
      <c r="G25" s="4">
        <f t="shared" si="25"/>
        <v>4241</v>
      </c>
      <c r="H25" s="4">
        <f t="shared" si="25"/>
        <v>4241</v>
      </c>
      <c r="I25" s="4">
        <f t="shared" si="25"/>
        <v>4241</v>
      </c>
      <c r="J25" s="4">
        <f t="shared" si="25"/>
        <v>4241</v>
      </c>
      <c r="K25" s="4">
        <f t="shared" si="25"/>
        <v>4241</v>
      </c>
      <c r="L25" s="4">
        <f t="shared" si="25"/>
        <v>4241</v>
      </c>
      <c r="M25" s="4">
        <f t="shared" si="25"/>
        <v>4241</v>
      </c>
      <c r="N25" s="4">
        <f t="shared" si="25"/>
        <v>4241</v>
      </c>
      <c r="O25" s="4">
        <f t="shared" si="25"/>
        <v>4241</v>
      </c>
      <c r="P25" s="4">
        <f t="shared" si="25"/>
        <v>4241</v>
      </c>
      <c r="Q25" s="4">
        <f t="shared" si="25"/>
        <v>4283</v>
      </c>
      <c r="R25" s="4">
        <f t="shared" si="25"/>
        <v>4325</v>
      </c>
      <c r="V25" s="4" t="s">
        <v>78</v>
      </c>
      <c r="W25" s="4" t="s">
        <v>74</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t="s">
        <v>78</v>
      </c>
      <c r="AO25" s="4" t="s">
        <v>74</v>
      </c>
      <c r="AP25" s="4">
        <f t="shared" ref="AP25:BE25" si="26">1-AP15</f>
        <v>0</v>
      </c>
      <c r="AQ25" s="4">
        <f t="shared" si="26"/>
        <v>0</v>
      </c>
      <c r="AR25" s="4">
        <f t="shared" si="26"/>
        <v>0</v>
      </c>
      <c r="AS25" s="4">
        <f t="shared" si="26"/>
        <v>0</v>
      </c>
      <c r="AT25" s="4">
        <f t="shared" si="26"/>
        <v>0</v>
      </c>
      <c r="AU25" s="4">
        <f t="shared" si="26"/>
        <v>0</v>
      </c>
      <c r="AV25" s="4">
        <f t="shared" si="26"/>
        <v>0</v>
      </c>
      <c r="AW25" s="4">
        <f t="shared" si="26"/>
        <v>0</v>
      </c>
      <c r="AX25" s="4">
        <f t="shared" si="26"/>
        <v>0</v>
      </c>
      <c r="AY25" s="4">
        <f t="shared" si="26"/>
        <v>0</v>
      </c>
      <c r="AZ25" s="4">
        <f t="shared" si="26"/>
        <v>0</v>
      </c>
      <c r="BA25" s="4">
        <f t="shared" si="26"/>
        <v>0</v>
      </c>
      <c r="BB25" s="4">
        <f t="shared" si="26"/>
        <v>0</v>
      </c>
      <c r="BC25" s="4">
        <f t="shared" si="26"/>
        <v>0</v>
      </c>
      <c r="BD25" s="4">
        <f t="shared" si="26"/>
        <v>0</v>
      </c>
      <c r="BE25" s="4">
        <f t="shared" si="26"/>
        <v>0.5</v>
      </c>
    </row>
    <row r="26" spans="1:57" ht="14.1" customHeight="1">
      <c r="A26" s="10" t="s">
        <v>77</v>
      </c>
      <c r="B26" s="4">
        <v>1</v>
      </c>
      <c r="C26" s="4">
        <f t="shared" ref="C26:R26" si="27">ROUND((($U$2*X$15)+($V$2*X$25)+($U$2*AP$15)+($V$2*AP$25)+($W$2*(1-(AP$15+AP$25)))+($W$2*(0-(X$15+X$25))))*$AO$7,0)</f>
        <v>2100</v>
      </c>
      <c r="D26" s="4">
        <f t="shared" si="27"/>
        <v>2100</v>
      </c>
      <c r="E26" s="4">
        <f t="shared" si="27"/>
        <v>2100</v>
      </c>
      <c r="F26" s="4">
        <f t="shared" si="27"/>
        <v>2100</v>
      </c>
      <c r="G26" s="4">
        <f t="shared" si="27"/>
        <v>2100</v>
      </c>
      <c r="H26" s="4">
        <f t="shared" si="27"/>
        <v>2100</v>
      </c>
      <c r="I26" s="4">
        <f t="shared" si="27"/>
        <v>2100</v>
      </c>
      <c r="J26" s="4">
        <f t="shared" si="27"/>
        <v>2100</v>
      </c>
      <c r="K26" s="4">
        <f t="shared" si="27"/>
        <v>2100</v>
      </c>
      <c r="L26" s="4">
        <f t="shared" si="27"/>
        <v>2100</v>
      </c>
      <c r="M26" s="4">
        <f t="shared" si="27"/>
        <v>2100</v>
      </c>
      <c r="N26" s="4">
        <f t="shared" si="27"/>
        <v>2100</v>
      </c>
      <c r="O26" s="4">
        <f t="shared" si="27"/>
        <v>2100</v>
      </c>
      <c r="P26" s="4">
        <f t="shared" si="27"/>
        <v>2100</v>
      </c>
      <c r="Q26" s="4">
        <f t="shared" si="27"/>
        <v>2100</v>
      </c>
      <c r="R26" s="4">
        <f t="shared" si="27"/>
        <v>2142</v>
      </c>
    </row>
    <row r="28" spans="1:57" ht="14.1" customHeight="1" thickBot="1">
      <c r="A28" s="6" t="s">
        <v>80</v>
      </c>
      <c r="B28" s="7"/>
      <c r="C28" s="7"/>
      <c r="D28" s="7"/>
      <c r="E28" s="7"/>
      <c r="F28" s="7"/>
      <c r="G28" s="7"/>
      <c r="H28" s="7"/>
      <c r="I28" s="7"/>
      <c r="J28" s="7"/>
      <c r="K28" s="7"/>
      <c r="L28" s="7"/>
      <c r="M28" s="7"/>
      <c r="N28" s="7"/>
      <c r="O28" s="7"/>
      <c r="P28" s="7"/>
      <c r="Q28" s="7"/>
      <c r="R28" s="7"/>
      <c r="U28" s="5"/>
      <c r="W28" s="4" t="s">
        <v>599</v>
      </c>
      <c r="X28" s="819" t="s">
        <v>81</v>
      </c>
      <c r="Y28" s="115"/>
      <c r="Z28" s="820"/>
      <c r="AB28" s="819" t="s">
        <v>82</v>
      </c>
      <c r="AC28" s="115"/>
      <c r="AD28" s="820"/>
      <c r="AF28" s="821" t="s">
        <v>83</v>
      </c>
      <c r="AG28" s="822"/>
      <c r="AH28" s="820"/>
    </row>
    <row r="29" spans="1:57" ht="14.1" customHeight="1">
      <c r="A29" s="21" t="s">
        <v>84</v>
      </c>
      <c r="B29" s="22">
        <f>'GRA 26-60 Matrices'!B99</f>
        <v>0.04</v>
      </c>
      <c r="C29" s="4" t="s">
        <v>85</v>
      </c>
      <c r="E29" s="109">
        <f>'GRA 26-60 Matrices'!E99</f>
        <v>0</v>
      </c>
      <c r="W29" s="4" t="s">
        <v>597</v>
      </c>
      <c r="X29" s="23">
        <f>'GRA 26-60 Matrices'!X88</f>
        <v>12297</v>
      </c>
      <c r="Y29" s="24">
        <f>'GRA 26-60 Matrices'!Y88</f>
        <v>12789</v>
      </c>
      <c r="Z29" s="25">
        <f>'GRA 26-60 Matrices'!Z88</f>
        <v>13301</v>
      </c>
      <c r="AB29" s="23">
        <f>'GRA 26-60 Matrices'!AB88</f>
        <v>27842</v>
      </c>
      <c r="AC29" s="24">
        <f>'GRA 26-60 Matrices'!AC88</f>
        <v>28956</v>
      </c>
      <c r="AD29" s="25">
        <f>'GRA 26-60 Matrices'!AD88</f>
        <v>30114</v>
      </c>
      <c r="AF29" s="26">
        <f>'GRA 26-60 Matrices'!AF88</f>
        <v>2524</v>
      </c>
      <c r="AG29" s="16">
        <f>'GRA 26-60 Matrices'!AG88</f>
        <v>2625</v>
      </c>
      <c r="AH29" s="25">
        <f>'GRA 26-60 Matrices'!AH88</f>
        <v>2730</v>
      </c>
    </row>
    <row r="30" spans="1:57" ht="14.1" customHeight="1">
      <c r="W30" s="4" t="s">
        <v>596</v>
      </c>
      <c r="X30" s="27">
        <f>'GRA 26-60 Matrices'!X89</f>
        <v>1799.55</v>
      </c>
      <c r="Y30" s="817">
        <f>'GRA 26-60 Matrices'!Y89</f>
        <v>1871.5319999999999</v>
      </c>
      <c r="Z30" s="28">
        <v>0</v>
      </c>
      <c r="AB30" s="27">
        <f>'GRA 26-60 Matrices'!AB89</f>
        <v>1799.55</v>
      </c>
      <c r="AC30" s="817">
        <f>'GRA 26-60 Matrices'!AC89</f>
        <v>1871.5319999999999</v>
      </c>
      <c r="AD30" s="28">
        <v>0</v>
      </c>
      <c r="AF30" s="29"/>
      <c r="AG30" s="30"/>
      <c r="AH30" s="28"/>
    </row>
    <row r="31" spans="1:57" ht="14.1" customHeight="1">
      <c r="A31" s="11" t="s">
        <v>86</v>
      </c>
    </row>
    <row r="32" spans="1:57" ht="14.1" customHeight="1">
      <c r="B32" s="13" t="s">
        <v>54</v>
      </c>
    </row>
    <row r="33" spans="1:57" ht="14.1" customHeight="1">
      <c r="A33" s="16"/>
      <c r="B33" s="17" t="s">
        <v>58</v>
      </c>
      <c r="C33" s="18">
        <f t="shared" ref="C33:R33" si="28">+C19</f>
        <v>44012</v>
      </c>
      <c r="D33" s="18">
        <f t="shared" si="28"/>
        <v>44027</v>
      </c>
      <c r="E33" s="18">
        <f t="shared" si="28"/>
        <v>44043</v>
      </c>
      <c r="F33" s="18">
        <f t="shared" si="28"/>
        <v>44058</v>
      </c>
      <c r="G33" s="18">
        <f t="shared" si="28"/>
        <v>44074</v>
      </c>
      <c r="H33" s="18">
        <f t="shared" si="28"/>
        <v>44104</v>
      </c>
      <c r="I33" s="18">
        <f t="shared" si="28"/>
        <v>44135</v>
      </c>
      <c r="J33" s="18">
        <f t="shared" si="28"/>
        <v>44165</v>
      </c>
      <c r="K33" s="18">
        <f t="shared" si="28"/>
        <v>44196</v>
      </c>
      <c r="L33" s="18">
        <f t="shared" si="28"/>
        <v>44227</v>
      </c>
      <c r="M33" s="18">
        <f t="shared" si="28"/>
        <v>44255</v>
      </c>
      <c r="N33" s="18">
        <f t="shared" si="28"/>
        <v>44286</v>
      </c>
      <c r="O33" s="18">
        <f t="shared" si="28"/>
        <v>44316</v>
      </c>
      <c r="P33" s="18">
        <f t="shared" si="28"/>
        <v>44331</v>
      </c>
      <c r="Q33" s="18">
        <f t="shared" si="28"/>
        <v>44347</v>
      </c>
      <c r="R33" s="18">
        <f t="shared" si="28"/>
        <v>44362</v>
      </c>
      <c r="V33" s="117"/>
      <c r="W33" s="112"/>
      <c r="X33" s="15"/>
      <c r="Y33" s="19"/>
      <c r="Z33" s="19"/>
      <c r="AA33" s="19"/>
      <c r="AB33" s="19"/>
      <c r="AC33" s="19"/>
      <c r="AD33" s="19"/>
      <c r="AE33" s="19"/>
      <c r="AF33" s="19"/>
      <c r="AG33" s="19"/>
      <c r="AH33" s="19"/>
      <c r="AI33" s="19"/>
      <c r="AJ33" s="19"/>
      <c r="AK33" s="19"/>
      <c r="AL33" s="19"/>
      <c r="AM33" s="19"/>
      <c r="AO33" s="14"/>
      <c r="AP33" s="14"/>
    </row>
    <row r="34" spans="1:57" ht="14.1" customHeight="1">
      <c r="V34" s="115"/>
      <c r="W34" s="116"/>
      <c r="X34" s="19">
        <f t="shared" ref="X34:AM34" si="29">+C33</f>
        <v>44012</v>
      </c>
      <c r="Y34" s="19">
        <f t="shared" si="29"/>
        <v>44027</v>
      </c>
      <c r="Z34" s="19">
        <f t="shared" si="29"/>
        <v>44043</v>
      </c>
      <c r="AA34" s="19">
        <f t="shared" si="29"/>
        <v>44058</v>
      </c>
      <c r="AB34" s="19">
        <f t="shared" si="29"/>
        <v>44074</v>
      </c>
      <c r="AC34" s="19">
        <f t="shared" si="29"/>
        <v>44104</v>
      </c>
      <c r="AD34" s="19">
        <f t="shared" si="29"/>
        <v>44135</v>
      </c>
      <c r="AE34" s="19">
        <f t="shared" si="29"/>
        <v>44165</v>
      </c>
      <c r="AF34" s="19">
        <f t="shared" si="29"/>
        <v>44196</v>
      </c>
      <c r="AG34" s="19">
        <f t="shared" si="29"/>
        <v>44227</v>
      </c>
      <c r="AH34" s="19">
        <f t="shared" si="29"/>
        <v>44255</v>
      </c>
      <c r="AI34" s="19">
        <f t="shared" si="29"/>
        <v>44286</v>
      </c>
      <c r="AJ34" s="19">
        <f t="shared" si="29"/>
        <v>44316</v>
      </c>
      <c r="AK34" s="19">
        <f t="shared" si="29"/>
        <v>44331</v>
      </c>
      <c r="AL34" s="19">
        <f t="shared" si="29"/>
        <v>44347</v>
      </c>
      <c r="AM34" s="19">
        <f t="shared" si="29"/>
        <v>44362</v>
      </c>
      <c r="AN34" s="110"/>
      <c r="AO34" s="115"/>
      <c r="AP34" s="110">
        <f t="shared" ref="AP34:BE34" si="30">+X34</f>
        <v>44012</v>
      </c>
      <c r="AQ34" s="110">
        <f t="shared" si="30"/>
        <v>44027</v>
      </c>
      <c r="AR34" s="110">
        <f t="shared" si="30"/>
        <v>44043</v>
      </c>
      <c r="AS34" s="110">
        <f t="shared" si="30"/>
        <v>44058</v>
      </c>
      <c r="AT34" s="110">
        <f t="shared" si="30"/>
        <v>44074</v>
      </c>
      <c r="AU34" s="110">
        <f t="shared" si="30"/>
        <v>44104</v>
      </c>
      <c r="AV34" s="110">
        <f t="shared" si="30"/>
        <v>44135</v>
      </c>
      <c r="AW34" s="110">
        <f t="shared" si="30"/>
        <v>44165</v>
      </c>
      <c r="AX34" s="110">
        <f t="shared" si="30"/>
        <v>44196</v>
      </c>
      <c r="AY34" s="110">
        <f t="shared" si="30"/>
        <v>44227</v>
      </c>
      <c r="AZ34" s="110">
        <f t="shared" si="30"/>
        <v>44255</v>
      </c>
      <c r="BA34" s="110">
        <f t="shared" si="30"/>
        <v>44286</v>
      </c>
      <c r="BB34" s="110">
        <f t="shared" si="30"/>
        <v>44316</v>
      </c>
      <c r="BC34" s="110">
        <f t="shared" si="30"/>
        <v>44331</v>
      </c>
      <c r="BD34" s="110">
        <f t="shared" si="30"/>
        <v>44347</v>
      </c>
      <c r="BE34" s="110">
        <f t="shared" si="30"/>
        <v>44362</v>
      </c>
    </row>
    <row r="35" spans="1:57" ht="14.1" customHeight="1">
      <c r="A35" s="10" t="s">
        <v>87</v>
      </c>
      <c r="B35" s="4">
        <v>12</v>
      </c>
      <c r="C35" s="4">
        <f t="shared" ref="C35:E36" si="31">ROUND((($X$29*(X35/9))+($Y$29*(X43/9))+($Z$29*(X51/9))+($X$30*AP35)+($X$30*AP43)*1),0)</f>
        <v>14097</v>
      </c>
      <c r="D35" s="4">
        <f t="shared" si="31"/>
        <v>14097</v>
      </c>
      <c r="E35" s="4">
        <f t="shared" si="31"/>
        <v>14097</v>
      </c>
      <c r="F35" s="4">
        <f t="shared" ref="F35:R39" si="32">ROUND((($X$29*(AA35/9))+($Y$29*(AA43/9))+($Z$29*(AA51/9))+($X$30*AS35)+($Y$30*AS43)*1),0)</f>
        <v>14169</v>
      </c>
      <c r="G35" s="4">
        <f t="shared" si="32"/>
        <v>14196</v>
      </c>
      <c r="H35" s="4">
        <f t="shared" si="32"/>
        <v>14251</v>
      </c>
      <c r="I35" s="4">
        <f t="shared" si="32"/>
        <v>14305</v>
      </c>
      <c r="J35" s="4">
        <f t="shared" si="32"/>
        <v>14360</v>
      </c>
      <c r="K35" s="4">
        <f t="shared" si="32"/>
        <v>14415</v>
      </c>
      <c r="L35" s="4">
        <f t="shared" si="32"/>
        <v>14469</v>
      </c>
      <c r="M35" s="4">
        <f t="shared" si="32"/>
        <v>14524</v>
      </c>
      <c r="N35" s="4">
        <f t="shared" si="32"/>
        <v>14579</v>
      </c>
      <c r="O35" s="4">
        <f t="shared" si="32"/>
        <v>14633</v>
      </c>
      <c r="P35" s="4">
        <f t="shared" si="32"/>
        <v>14661</v>
      </c>
      <c r="Q35" s="4">
        <f t="shared" si="32"/>
        <v>14661</v>
      </c>
      <c r="R35" s="4">
        <f t="shared" si="32"/>
        <v>14661</v>
      </c>
      <c r="V35" s="4" t="s">
        <v>60</v>
      </c>
      <c r="W35" s="4" t="s">
        <v>61</v>
      </c>
      <c r="X35" s="4">
        <v>9</v>
      </c>
      <c r="Y35" s="4">
        <v>9</v>
      </c>
      <c r="Z35" s="4">
        <v>9</v>
      </c>
      <c r="AA35" s="4">
        <v>9</v>
      </c>
      <c r="AB35" s="4">
        <v>8.5</v>
      </c>
      <c r="AC35" s="4">
        <v>7.5</v>
      </c>
      <c r="AD35" s="4">
        <v>6.5</v>
      </c>
      <c r="AE35" s="4">
        <v>5.5</v>
      </c>
      <c r="AF35" s="4">
        <v>4.5</v>
      </c>
      <c r="AG35" s="4">
        <v>3.5</v>
      </c>
      <c r="AH35" s="4">
        <v>2.5</v>
      </c>
      <c r="AI35" s="4">
        <v>1.5</v>
      </c>
      <c r="AJ35" s="4">
        <v>0.5</v>
      </c>
      <c r="AK35" s="4">
        <v>0</v>
      </c>
      <c r="AL35" s="4">
        <v>0</v>
      </c>
      <c r="AM35" s="4">
        <v>0</v>
      </c>
      <c r="AN35" s="4" t="s">
        <v>60</v>
      </c>
      <c r="AO35" s="4" t="s">
        <v>62</v>
      </c>
      <c r="AP35" s="4">
        <v>0</v>
      </c>
      <c r="AQ35" s="4">
        <v>0</v>
      </c>
      <c r="AR35" s="4">
        <v>0</v>
      </c>
      <c r="AS35" s="4">
        <v>0</v>
      </c>
      <c r="AT35" s="4">
        <v>0</v>
      </c>
      <c r="AU35" s="4">
        <v>0</v>
      </c>
      <c r="AV35" s="4">
        <v>0</v>
      </c>
      <c r="AW35" s="4">
        <v>0</v>
      </c>
      <c r="AX35" s="4">
        <v>0</v>
      </c>
      <c r="AY35" s="4">
        <v>0</v>
      </c>
      <c r="AZ35" s="4">
        <v>0</v>
      </c>
      <c r="BA35" s="4">
        <v>0</v>
      </c>
      <c r="BB35" s="4">
        <v>0</v>
      </c>
      <c r="BC35" s="4">
        <v>0</v>
      </c>
      <c r="BD35" s="4">
        <v>0</v>
      </c>
      <c r="BE35" s="4">
        <v>0</v>
      </c>
    </row>
    <row r="36" spans="1:57" ht="14.1" customHeight="1">
      <c r="A36" s="10" t="s">
        <v>87</v>
      </c>
      <c r="B36" s="4">
        <v>11</v>
      </c>
      <c r="C36" s="4">
        <f t="shared" si="31"/>
        <v>14097</v>
      </c>
      <c r="D36" s="4">
        <f t="shared" si="31"/>
        <v>14097</v>
      </c>
      <c r="E36" s="4">
        <f t="shared" si="31"/>
        <v>14097</v>
      </c>
      <c r="F36" s="4">
        <f t="shared" si="32"/>
        <v>14169</v>
      </c>
      <c r="G36" s="4">
        <f t="shared" si="32"/>
        <v>14196</v>
      </c>
      <c r="H36" s="4">
        <f t="shared" si="32"/>
        <v>14251</v>
      </c>
      <c r="I36" s="4">
        <f t="shared" si="32"/>
        <v>14305</v>
      </c>
      <c r="J36" s="4">
        <f t="shared" si="32"/>
        <v>14360</v>
      </c>
      <c r="K36" s="4">
        <f t="shared" si="32"/>
        <v>14415</v>
      </c>
      <c r="L36" s="4">
        <f t="shared" si="32"/>
        <v>14469</v>
      </c>
      <c r="M36" s="4">
        <f t="shared" si="32"/>
        <v>14524</v>
      </c>
      <c r="N36" s="4">
        <f t="shared" si="32"/>
        <v>14579</v>
      </c>
      <c r="O36" s="4">
        <f t="shared" si="32"/>
        <v>14633</v>
      </c>
      <c r="P36" s="4">
        <f t="shared" si="32"/>
        <v>14661</v>
      </c>
      <c r="Q36" s="4">
        <f t="shared" si="32"/>
        <v>14661</v>
      </c>
      <c r="R36" s="4">
        <f t="shared" si="32"/>
        <v>14661</v>
      </c>
      <c r="V36" s="4" t="s">
        <v>65</v>
      </c>
      <c r="W36" s="4" t="s">
        <v>66</v>
      </c>
      <c r="X36" s="4">
        <v>9</v>
      </c>
      <c r="Y36" s="4">
        <v>9</v>
      </c>
      <c r="Z36" s="4">
        <v>9</v>
      </c>
      <c r="AA36" s="4">
        <v>9</v>
      </c>
      <c r="AB36" s="4">
        <v>8.5</v>
      </c>
      <c r="AC36" s="4">
        <v>7.5</v>
      </c>
      <c r="AD36" s="4">
        <v>6.5</v>
      </c>
      <c r="AE36" s="4">
        <v>5.5</v>
      </c>
      <c r="AF36" s="4">
        <v>4.5</v>
      </c>
      <c r="AG36" s="4">
        <v>3.5</v>
      </c>
      <c r="AH36" s="4">
        <v>2.5</v>
      </c>
      <c r="AI36" s="4">
        <v>1.5</v>
      </c>
      <c r="AJ36" s="4">
        <v>0.5</v>
      </c>
      <c r="AK36" s="4">
        <v>0</v>
      </c>
      <c r="AL36" s="4">
        <v>0</v>
      </c>
      <c r="AM36" s="4">
        <v>0</v>
      </c>
      <c r="AN36" s="4" t="s">
        <v>65</v>
      </c>
      <c r="AO36" s="4" t="s">
        <v>62</v>
      </c>
      <c r="AP36" s="4">
        <v>0</v>
      </c>
      <c r="AQ36" s="4">
        <v>0</v>
      </c>
      <c r="AR36" s="4">
        <v>0</v>
      </c>
      <c r="AS36" s="4">
        <v>0</v>
      </c>
      <c r="AT36" s="4">
        <v>0</v>
      </c>
      <c r="AU36" s="4">
        <v>0</v>
      </c>
      <c r="AV36" s="4">
        <v>0</v>
      </c>
      <c r="AW36" s="4">
        <v>0</v>
      </c>
      <c r="AX36" s="4">
        <v>0</v>
      </c>
      <c r="AY36" s="4">
        <v>0</v>
      </c>
      <c r="AZ36" s="4">
        <v>0</v>
      </c>
      <c r="BA36" s="4">
        <v>0</v>
      </c>
      <c r="BB36" s="4">
        <v>0</v>
      </c>
      <c r="BC36" s="4">
        <v>0</v>
      </c>
      <c r="BD36" s="4">
        <v>0</v>
      </c>
      <c r="BE36" s="4">
        <v>0</v>
      </c>
    </row>
    <row r="37" spans="1:57" ht="14.1" customHeight="1">
      <c r="A37" s="10" t="s">
        <v>88</v>
      </c>
      <c r="B37" s="4">
        <v>10</v>
      </c>
      <c r="C37" s="4">
        <f t="shared" ref="C37:E39" si="33">ROUND((($X$29*(X37/9))+($Y$29*(X45/9))+($Z$29*(X53/9))+($X$30*AP37)+($Y$30*AP45)*1),0)</f>
        <v>12297</v>
      </c>
      <c r="D37" s="4">
        <f t="shared" si="33"/>
        <v>12297</v>
      </c>
      <c r="E37" s="4">
        <f t="shared" si="33"/>
        <v>12297</v>
      </c>
      <c r="F37" s="4">
        <f t="shared" si="32"/>
        <v>12297</v>
      </c>
      <c r="G37" s="4">
        <f t="shared" si="32"/>
        <v>12324</v>
      </c>
      <c r="H37" s="4">
        <f t="shared" si="32"/>
        <v>12379</v>
      </c>
      <c r="I37" s="4">
        <f t="shared" si="32"/>
        <v>12434</v>
      </c>
      <c r="J37" s="4">
        <f t="shared" si="32"/>
        <v>12488</v>
      </c>
      <c r="K37" s="4">
        <f t="shared" si="32"/>
        <v>12543</v>
      </c>
      <c r="L37" s="4">
        <f t="shared" si="32"/>
        <v>12598</v>
      </c>
      <c r="M37" s="4">
        <f t="shared" si="32"/>
        <v>12652</v>
      </c>
      <c r="N37" s="4">
        <f t="shared" si="32"/>
        <v>12707</v>
      </c>
      <c r="O37" s="4">
        <f t="shared" si="32"/>
        <v>12762</v>
      </c>
      <c r="P37" s="4">
        <f t="shared" si="32"/>
        <v>12789</v>
      </c>
      <c r="Q37" s="4">
        <f t="shared" si="32"/>
        <v>12789</v>
      </c>
      <c r="R37" s="4">
        <f t="shared" si="32"/>
        <v>12789</v>
      </c>
      <c r="V37" s="4" t="s">
        <v>69</v>
      </c>
      <c r="W37" s="4" t="s">
        <v>66</v>
      </c>
      <c r="X37" s="4">
        <v>9</v>
      </c>
      <c r="Y37" s="4">
        <v>9</v>
      </c>
      <c r="Z37" s="4">
        <v>9</v>
      </c>
      <c r="AA37" s="4">
        <v>9</v>
      </c>
      <c r="AB37" s="4">
        <v>8.5</v>
      </c>
      <c r="AC37" s="4">
        <v>7.5</v>
      </c>
      <c r="AD37" s="4">
        <v>6.5</v>
      </c>
      <c r="AE37" s="4">
        <v>5.5</v>
      </c>
      <c r="AF37" s="4">
        <v>4.5</v>
      </c>
      <c r="AG37" s="4">
        <v>3.5</v>
      </c>
      <c r="AH37" s="4">
        <v>2.5</v>
      </c>
      <c r="AI37" s="4">
        <v>1.5</v>
      </c>
      <c r="AJ37" s="4">
        <v>0.5</v>
      </c>
      <c r="AK37" s="4">
        <v>0</v>
      </c>
      <c r="AL37" s="4">
        <v>0</v>
      </c>
      <c r="AM37" s="4">
        <v>0</v>
      </c>
      <c r="AN37" s="4" t="s">
        <v>69</v>
      </c>
      <c r="AO37" s="4" t="s">
        <v>62</v>
      </c>
      <c r="AP37" s="4">
        <v>0</v>
      </c>
      <c r="AQ37" s="4">
        <v>0</v>
      </c>
      <c r="AR37" s="4">
        <v>0</v>
      </c>
      <c r="AS37" s="4">
        <v>0</v>
      </c>
      <c r="AT37" s="4">
        <v>0</v>
      </c>
      <c r="AU37" s="4">
        <v>0</v>
      </c>
      <c r="AV37" s="4">
        <v>0</v>
      </c>
      <c r="AW37" s="4">
        <v>0</v>
      </c>
      <c r="AX37" s="4">
        <v>0</v>
      </c>
      <c r="AY37" s="4">
        <v>0</v>
      </c>
      <c r="AZ37" s="4">
        <v>0</v>
      </c>
      <c r="BA37" s="4">
        <v>0</v>
      </c>
      <c r="BB37" s="4">
        <v>0</v>
      </c>
      <c r="BC37" s="4">
        <v>0</v>
      </c>
      <c r="BD37" s="4">
        <v>0</v>
      </c>
      <c r="BE37" s="4">
        <v>0</v>
      </c>
    </row>
    <row r="38" spans="1:57" ht="14.1" customHeight="1">
      <c r="A38" s="10" t="s">
        <v>88</v>
      </c>
      <c r="B38" s="4">
        <v>9</v>
      </c>
      <c r="C38" s="4">
        <f t="shared" si="33"/>
        <v>12297</v>
      </c>
      <c r="D38" s="4">
        <f t="shared" si="33"/>
        <v>12297</v>
      </c>
      <c r="E38" s="4">
        <f t="shared" si="33"/>
        <v>12297</v>
      </c>
      <c r="F38" s="4">
        <f t="shared" si="32"/>
        <v>12297</v>
      </c>
      <c r="G38" s="4">
        <f t="shared" si="32"/>
        <v>12324</v>
      </c>
      <c r="H38" s="4">
        <f t="shared" si="32"/>
        <v>12379</v>
      </c>
      <c r="I38" s="4">
        <f t="shared" si="32"/>
        <v>12434</v>
      </c>
      <c r="J38" s="4">
        <f t="shared" si="32"/>
        <v>12488</v>
      </c>
      <c r="K38" s="4">
        <f t="shared" si="32"/>
        <v>12543</v>
      </c>
      <c r="L38" s="4">
        <f t="shared" si="32"/>
        <v>12598</v>
      </c>
      <c r="M38" s="4">
        <f t="shared" si="32"/>
        <v>12652</v>
      </c>
      <c r="N38" s="4">
        <f t="shared" si="32"/>
        <v>12707</v>
      </c>
      <c r="O38" s="4">
        <f t="shared" si="32"/>
        <v>12762</v>
      </c>
      <c r="P38" s="4">
        <f t="shared" si="32"/>
        <v>12789</v>
      </c>
      <c r="Q38" s="4">
        <f t="shared" si="32"/>
        <v>12789</v>
      </c>
      <c r="R38" s="4">
        <f t="shared" si="32"/>
        <v>12789</v>
      </c>
      <c r="V38" s="4" t="s">
        <v>71</v>
      </c>
      <c r="W38" s="4" t="s">
        <v>66</v>
      </c>
      <c r="X38" s="4">
        <v>9</v>
      </c>
      <c r="Y38" s="4">
        <v>9</v>
      </c>
      <c r="Z38" s="4">
        <v>9</v>
      </c>
      <c r="AA38" s="4">
        <v>9</v>
      </c>
      <c r="AB38" s="4">
        <v>8.5</v>
      </c>
      <c r="AC38" s="4">
        <v>7.5</v>
      </c>
      <c r="AD38" s="4">
        <v>6.5</v>
      </c>
      <c r="AE38" s="4">
        <v>5.5</v>
      </c>
      <c r="AF38" s="4">
        <v>4.5</v>
      </c>
      <c r="AG38" s="4">
        <v>3.5</v>
      </c>
      <c r="AH38" s="4">
        <v>2.5</v>
      </c>
      <c r="AI38" s="4">
        <v>1.5</v>
      </c>
      <c r="AJ38" s="4">
        <v>0.5</v>
      </c>
      <c r="AK38" s="4">
        <v>0</v>
      </c>
      <c r="AL38" s="4">
        <v>0</v>
      </c>
      <c r="AM38" s="4">
        <v>0</v>
      </c>
      <c r="AN38" s="4" t="s">
        <v>71</v>
      </c>
      <c r="AO38" s="4" t="s">
        <v>62</v>
      </c>
      <c r="AP38" s="4">
        <v>0</v>
      </c>
      <c r="AQ38" s="4">
        <v>0</v>
      </c>
      <c r="AR38" s="4">
        <v>0</v>
      </c>
      <c r="AS38" s="4">
        <v>0</v>
      </c>
      <c r="AT38" s="4">
        <v>0</v>
      </c>
      <c r="AU38" s="4">
        <v>0</v>
      </c>
      <c r="AV38" s="4">
        <v>0</v>
      </c>
      <c r="AW38" s="4">
        <v>0</v>
      </c>
      <c r="AX38" s="4">
        <v>0</v>
      </c>
      <c r="AY38" s="4">
        <v>0</v>
      </c>
      <c r="AZ38" s="4">
        <v>0</v>
      </c>
      <c r="BA38" s="4">
        <v>0</v>
      </c>
      <c r="BB38" s="4">
        <v>0</v>
      </c>
      <c r="BC38" s="4">
        <v>0</v>
      </c>
      <c r="BD38" s="4">
        <v>0</v>
      </c>
      <c r="BE38" s="4">
        <v>0</v>
      </c>
    </row>
    <row r="39" spans="1:57" ht="14.1" customHeight="1">
      <c r="A39" s="10" t="s">
        <v>89</v>
      </c>
      <c r="B39" s="31" t="s">
        <v>90</v>
      </c>
      <c r="C39" s="4">
        <f t="shared" si="33"/>
        <v>1800</v>
      </c>
      <c r="D39" s="4">
        <f t="shared" si="33"/>
        <v>1800</v>
      </c>
      <c r="E39" s="4">
        <f t="shared" si="33"/>
        <v>1800</v>
      </c>
      <c r="F39" s="4">
        <f t="shared" si="32"/>
        <v>1872</v>
      </c>
      <c r="G39" s="4">
        <f t="shared" si="32"/>
        <v>1872</v>
      </c>
      <c r="H39" s="4">
        <f t="shared" si="32"/>
        <v>1872</v>
      </c>
      <c r="I39" s="4">
        <f t="shared" si="32"/>
        <v>1872</v>
      </c>
      <c r="J39" s="4">
        <f t="shared" si="32"/>
        <v>1872</v>
      </c>
      <c r="K39" s="4">
        <f t="shared" si="32"/>
        <v>1872</v>
      </c>
      <c r="L39" s="4">
        <f t="shared" si="32"/>
        <v>1872</v>
      </c>
      <c r="M39" s="4">
        <f t="shared" si="32"/>
        <v>1872</v>
      </c>
      <c r="N39" s="4">
        <f t="shared" si="32"/>
        <v>1872</v>
      </c>
      <c r="O39" s="4">
        <f t="shared" si="32"/>
        <v>1872</v>
      </c>
      <c r="P39" s="4">
        <f t="shared" si="32"/>
        <v>1872</v>
      </c>
      <c r="Q39" s="4">
        <f t="shared" si="32"/>
        <v>1872</v>
      </c>
      <c r="R39" s="4">
        <f t="shared" si="32"/>
        <v>1872</v>
      </c>
      <c r="V39" s="4" t="s">
        <v>73</v>
      </c>
      <c r="W39" s="4" t="s">
        <v>62</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t="s">
        <v>73</v>
      </c>
      <c r="AO39" s="4" t="s">
        <v>91</v>
      </c>
      <c r="AP39" s="4">
        <v>1</v>
      </c>
      <c r="AQ39" s="4">
        <v>1</v>
      </c>
      <c r="AR39" s="4">
        <v>1</v>
      </c>
      <c r="AS39" s="4">
        <v>0</v>
      </c>
      <c r="AT39" s="4">
        <v>0</v>
      </c>
      <c r="AU39" s="4">
        <v>0</v>
      </c>
      <c r="AV39" s="4">
        <v>0</v>
      </c>
      <c r="AW39" s="4">
        <v>0</v>
      </c>
      <c r="AX39" s="4">
        <v>0</v>
      </c>
      <c r="AY39" s="4">
        <v>0</v>
      </c>
      <c r="AZ39" s="4">
        <v>0</v>
      </c>
      <c r="BA39" s="4">
        <v>0</v>
      </c>
      <c r="BB39" s="4">
        <v>0</v>
      </c>
      <c r="BC39" s="4">
        <v>0</v>
      </c>
      <c r="BD39" s="4">
        <v>0</v>
      </c>
      <c r="BE39" s="4">
        <v>0</v>
      </c>
    </row>
    <row r="40" spans="1:57" ht="14.1" customHeight="1">
      <c r="AO40" s="14"/>
      <c r="AP40" s="14"/>
    </row>
    <row r="41" spans="1:57" ht="14.1" customHeight="1">
      <c r="A41" s="11" t="s">
        <v>92</v>
      </c>
      <c r="V41" s="115"/>
      <c r="W41" s="115"/>
      <c r="X41" s="110">
        <f t="shared" ref="X41:AM41" si="34">+C43</f>
        <v>44012</v>
      </c>
      <c r="Y41" s="110">
        <f t="shared" si="34"/>
        <v>44027</v>
      </c>
      <c r="Z41" s="110">
        <f t="shared" si="34"/>
        <v>44043</v>
      </c>
      <c r="AA41" s="110">
        <f t="shared" si="34"/>
        <v>44058</v>
      </c>
      <c r="AB41" s="110">
        <f t="shared" si="34"/>
        <v>44074</v>
      </c>
      <c r="AC41" s="110">
        <f t="shared" si="34"/>
        <v>44104</v>
      </c>
      <c r="AD41" s="110">
        <f t="shared" si="34"/>
        <v>44135</v>
      </c>
      <c r="AE41" s="110">
        <f t="shared" si="34"/>
        <v>44165</v>
      </c>
      <c r="AF41" s="110">
        <f t="shared" si="34"/>
        <v>44196</v>
      </c>
      <c r="AG41" s="110">
        <f t="shared" si="34"/>
        <v>44227</v>
      </c>
      <c r="AH41" s="110">
        <f t="shared" si="34"/>
        <v>44255</v>
      </c>
      <c r="AI41" s="110">
        <f t="shared" si="34"/>
        <v>44286</v>
      </c>
      <c r="AJ41" s="110">
        <f t="shared" si="34"/>
        <v>44316</v>
      </c>
      <c r="AK41" s="110">
        <f t="shared" si="34"/>
        <v>44331</v>
      </c>
      <c r="AL41" s="110">
        <f t="shared" si="34"/>
        <v>44347</v>
      </c>
      <c r="AM41" s="110">
        <f t="shared" si="34"/>
        <v>44362</v>
      </c>
      <c r="AN41" s="110"/>
      <c r="AO41" s="115"/>
      <c r="AP41" s="110">
        <f t="shared" ref="AP41:BE41" si="35">+X41</f>
        <v>44012</v>
      </c>
      <c r="AQ41" s="110">
        <f t="shared" si="35"/>
        <v>44027</v>
      </c>
      <c r="AR41" s="110">
        <f t="shared" si="35"/>
        <v>44043</v>
      </c>
      <c r="AS41" s="110">
        <f t="shared" si="35"/>
        <v>44058</v>
      </c>
      <c r="AT41" s="110">
        <f t="shared" si="35"/>
        <v>44074</v>
      </c>
      <c r="AU41" s="110">
        <f t="shared" si="35"/>
        <v>44104</v>
      </c>
      <c r="AV41" s="110">
        <f t="shared" si="35"/>
        <v>44135</v>
      </c>
      <c r="AW41" s="110">
        <f t="shared" si="35"/>
        <v>44165</v>
      </c>
      <c r="AX41" s="110">
        <f t="shared" si="35"/>
        <v>44196</v>
      </c>
      <c r="AY41" s="110">
        <f t="shared" si="35"/>
        <v>44227</v>
      </c>
      <c r="AZ41" s="110">
        <f t="shared" si="35"/>
        <v>44255</v>
      </c>
      <c r="BA41" s="110">
        <f t="shared" si="35"/>
        <v>44286</v>
      </c>
      <c r="BB41" s="110">
        <f t="shared" si="35"/>
        <v>44316</v>
      </c>
      <c r="BC41" s="110">
        <f t="shared" si="35"/>
        <v>44331</v>
      </c>
      <c r="BD41" s="110">
        <f t="shared" si="35"/>
        <v>44347</v>
      </c>
      <c r="BE41" s="110">
        <f t="shared" si="35"/>
        <v>44362</v>
      </c>
    </row>
    <row r="42" spans="1:57" ht="14.1" customHeight="1">
      <c r="B42" s="13" t="s">
        <v>54</v>
      </c>
      <c r="X42" s="20"/>
      <c r="Y42" s="20"/>
      <c r="Z42" s="20"/>
      <c r="AA42" s="20"/>
      <c r="AB42" s="20"/>
      <c r="AC42" s="20"/>
      <c r="AD42" s="20"/>
      <c r="AE42" s="20"/>
      <c r="AF42" s="20"/>
      <c r="AG42" s="20"/>
      <c r="AH42" s="20"/>
      <c r="AI42" s="20"/>
      <c r="AJ42" s="20"/>
      <c r="AK42" s="20"/>
      <c r="AL42" s="20"/>
      <c r="AM42" s="20"/>
      <c r="AN42" s="20"/>
      <c r="AP42" s="20"/>
      <c r="AQ42" s="20"/>
      <c r="AR42" s="20"/>
      <c r="AS42" s="20"/>
      <c r="AT42" s="20"/>
      <c r="AU42" s="20"/>
      <c r="AV42" s="20"/>
      <c r="AW42" s="20"/>
      <c r="AX42" s="20"/>
      <c r="AY42" s="20"/>
      <c r="AZ42" s="20"/>
      <c r="BA42" s="20"/>
      <c r="BB42" s="20"/>
      <c r="BC42" s="20"/>
      <c r="BD42" s="20"/>
      <c r="BE42" s="20"/>
    </row>
    <row r="43" spans="1:57" ht="14.1" customHeight="1">
      <c r="A43" s="16"/>
      <c r="B43" s="17" t="s">
        <v>58</v>
      </c>
      <c r="C43" s="18">
        <f t="shared" ref="C43:R43" si="36">+C33</f>
        <v>44012</v>
      </c>
      <c r="D43" s="18">
        <f t="shared" si="36"/>
        <v>44027</v>
      </c>
      <c r="E43" s="18">
        <f t="shared" si="36"/>
        <v>44043</v>
      </c>
      <c r="F43" s="18">
        <f t="shared" si="36"/>
        <v>44058</v>
      </c>
      <c r="G43" s="18">
        <f t="shared" si="36"/>
        <v>44074</v>
      </c>
      <c r="H43" s="18">
        <f t="shared" si="36"/>
        <v>44104</v>
      </c>
      <c r="I43" s="18">
        <f t="shared" si="36"/>
        <v>44135</v>
      </c>
      <c r="J43" s="18">
        <f t="shared" si="36"/>
        <v>44165</v>
      </c>
      <c r="K43" s="18">
        <f t="shared" si="36"/>
        <v>44196</v>
      </c>
      <c r="L43" s="18">
        <f t="shared" si="36"/>
        <v>44227</v>
      </c>
      <c r="M43" s="18">
        <f t="shared" si="36"/>
        <v>44255</v>
      </c>
      <c r="N43" s="18">
        <f t="shared" si="36"/>
        <v>44286</v>
      </c>
      <c r="O43" s="18">
        <f t="shared" si="36"/>
        <v>44316</v>
      </c>
      <c r="P43" s="18">
        <f t="shared" si="36"/>
        <v>44331</v>
      </c>
      <c r="Q43" s="18">
        <f t="shared" si="36"/>
        <v>44347</v>
      </c>
      <c r="R43" s="18">
        <f t="shared" si="36"/>
        <v>44362</v>
      </c>
      <c r="V43" s="4" t="s">
        <v>60</v>
      </c>
      <c r="W43" s="4" t="s">
        <v>67</v>
      </c>
      <c r="X43" s="4">
        <f t="shared" ref="X43:AI43" si="37">9-X35</f>
        <v>0</v>
      </c>
      <c r="Y43" s="4">
        <f t="shared" si="37"/>
        <v>0</v>
      </c>
      <c r="Z43" s="4">
        <f t="shared" si="37"/>
        <v>0</v>
      </c>
      <c r="AA43" s="4">
        <f t="shared" si="37"/>
        <v>0</v>
      </c>
      <c r="AB43" s="4">
        <f t="shared" si="37"/>
        <v>0.5</v>
      </c>
      <c r="AC43" s="4">
        <f t="shared" si="37"/>
        <v>1.5</v>
      </c>
      <c r="AD43" s="4">
        <f t="shared" si="37"/>
        <v>2.5</v>
      </c>
      <c r="AE43" s="4">
        <f t="shared" si="37"/>
        <v>3.5</v>
      </c>
      <c r="AF43" s="4">
        <f t="shared" si="37"/>
        <v>4.5</v>
      </c>
      <c r="AG43" s="4">
        <f t="shared" si="37"/>
        <v>5.5</v>
      </c>
      <c r="AH43" s="4">
        <f t="shared" si="37"/>
        <v>6.5</v>
      </c>
      <c r="AI43" s="4">
        <f t="shared" si="37"/>
        <v>7.5</v>
      </c>
      <c r="AJ43" s="4">
        <v>8.5</v>
      </c>
      <c r="AK43" s="4">
        <v>9</v>
      </c>
      <c r="AL43" s="4">
        <v>9</v>
      </c>
      <c r="AM43" s="4">
        <v>9</v>
      </c>
      <c r="AN43" s="4" t="s">
        <v>60</v>
      </c>
      <c r="AO43" s="4" t="s">
        <v>74</v>
      </c>
      <c r="AP43" s="4">
        <f t="shared" ref="AP43:BE43" si="38">1-AP35</f>
        <v>1</v>
      </c>
      <c r="AQ43" s="4">
        <f t="shared" si="38"/>
        <v>1</v>
      </c>
      <c r="AR43" s="4">
        <f t="shared" si="38"/>
        <v>1</v>
      </c>
      <c r="AS43" s="4">
        <f t="shared" si="38"/>
        <v>1</v>
      </c>
      <c r="AT43" s="4">
        <f t="shared" si="38"/>
        <v>1</v>
      </c>
      <c r="AU43" s="4">
        <f t="shared" si="38"/>
        <v>1</v>
      </c>
      <c r="AV43" s="4">
        <f t="shared" si="38"/>
        <v>1</v>
      </c>
      <c r="AW43" s="4">
        <f t="shared" si="38"/>
        <v>1</v>
      </c>
      <c r="AX43" s="4">
        <f t="shared" si="38"/>
        <v>1</v>
      </c>
      <c r="AY43" s="4">
        <f t="shared" si="38"/>
        <v>1</v>
      </c>
      <c r="AZ43" s="4">
        <f t="shared" si="38"/>
        <v>1</v>
      </c>
      <c r="BA43" s="4">
        <f t="shared" si="38"/>
        <v>1</v>
      </c>
      <c r="BB43" s="4">
        <f t="shared" si="38"/>
        <v>1</v>
      </c>
      <c r="BC43" s="4">
        <f t="shared" si="38"/>
        <v>1</v>
      </c>
      <c r="BD43" s="4">
        <f t="shared" si="38"/>
        <v>1</v>
      </c>
      <c r="BE43" s="4">
        <f t="shared" si="38"/>
        <v>1</v>
      </c>
    </row>
    <row r="44" spans="1:57" ht="14.1" customHeight="1">
      <c r="V44" s="4" t="s">
        <v>65</v>
      </c>
      <c r="W44" s="4" t="s">
        <v>67</v>
      </c>
      <c r="X44" s="4">
        <f t="shared" ref="X44:AI44" si="39">9-X36</f>
        <v>0</v>
      </c>
      <c r="Y44" s="4">
        <f t="shared" si="39"/>
        <v>0</v>
      </c>
      <c r="Z44" s="4">
        <f t="shared" si="39"/>
        <v>0</v>
      </c>
      <c r="AA44" s="4">
        <f t="shared" si="39"/>
        <v>0</v>
      </c>
      <c r="AB44" s="4">
        <f t="shared" si="39"/>
        <v>0.5</v>
      </c>
      <c r="AC44" s="4">
        <f t="shared" si="39"/>
        <v>1.5</v>
      </c>
      <c r="AD44" s="4">
        <f t="shared" si="39"/>
        <v>2.5</v>
      </c>
      <c r="AE44" s="4">
        <f t="shared" si="39"/>
        <v>3.5</v>
      </c>
      <c r="AF44" s="4">
        <f t="shared" si="39"/>
        <v>4.5</v>
      </c>
      <c r="AG44" s="4">
        <f t="shared" si="39"/>
        <v>5.5</v>
      </c>
      <c r="AH44" s="4">
        <f t="shared" si="39"/>
        <v>6.5</v>
      </c>
      <c r="AI44" s="4">
        <f t="shared" si="39"/>
        <v>7.5</v>
      </c>
      <c r="AJ44" s="4">
        <v>8.5</v>
      </c>
      <c r="AK44" s="4">
        <v>9</v>
      </c>
      <c r="AL44" s="4">
        <v>9</v>
      </c>
      <c r="AM44" s="4">
        <v>9</v>
      </c>
      <c r="AN44" s="4" t="s">
        <v>65</v>
      </c>
      <c r="AO44" s="4" t="s">
        <v>74</v>
      </c>
      <c r="AP44" s="4">
        <f t="shared" ref="AP44:BE44" si="40">1-AP36</f>
        <v>1</v>
      </c>
      <c r="AQ44" s="4">
        <f t="shared" si="40"/>
        <v>1</v>
      </c>
      <c r="AR44" s="4">
        <f t="shared" si="40"/>
        <v>1</v>
      </c>
      <c r="AS44" s="4">
        <f t="shared" si="40"/>
        <v>1</v>
      </c>
      <c r="AT44" s="4">
        <f t="shared" si="40"/>
        <v>1</v>
      </c>
      <c r="AU44" s="4">
        <f t="shared" si="40"/>
        <v>1</v>
      </c>
      <c r="AV44" s="4">
        <f t="shared" si="40"/>
        <v>1</v>
      </c>
      <c r="AW44" s="4">
        <f t="shared" si="40"/>
        <v>1</v>
      </c>
      <c r="AX44" s="4">
        <f t="shared" si="40"/>
        <v>1</v>
      </c>
      <c r="AY44" s="4">
        <f t="shared" si="40"/>
        <v>1</v>
      </c>
      <c r="AZ44" s="4">
        <f t="shared" si="40"/>
        <v>1</v>
      </c>
      <c r="BA44" s="4">
        <f t="shared" si="40"/>
        <v>1</v>
      </c>
      <c r="BB44" s="4">
        <f t="shared" si="40"/>
        <v>1</v>
      </c>
      <c r="BC44" s="4">
        <f t="shared" si="40"/>
        <v>1</v>
      </c>
      <c r="BD44" s="4">
        <f t="shared" si="40"/>
        <v>1</v>
      </c>
      <c r="BE44" s="4">
        <f t="shared" si="40"/>
        <v>1</v>
      </c>
    </row>
    <row r="45" spans="1:57" ht="14.1" customHeight="1">
      <c r="A45" s="10" t="s">
        <v>87</v>
      </c>
      <c r="B45" s="4">
        <v>12</v>
      </c>
      <c r="C45" s="4">
        <f t="shared" ref="C45:E46" si="41">ROUND((($AB$29*(X35/9))+($AC$29*(X43/9))+($AD$29*(X51/9))+($AB$30*AP35)+($AB$30*AP43)*1),0)</f>
        <v>29642</v>
      </c>
      <c r="D45" s="4">
        <f t="shared" si="41"/>
        <v>29642</v>
      </c>
      <c r="E45" s="4">
        <f t="shared" si="41"/>
        <v>29642</v>
      </c>
      <c r="F45" s="4">
        <f t="shared" ref="F45:R49" si="42">ROUND((($AB$29*(AA35/9))+($AC$29*(AA43/9))+($AD$29*(AA51/9))+($AB$30*AS35)+($AC$30*AS43)*1),0)</f>
        <v>29714</v>
      </c>
      <c r="G45" s="4">
        <f t="shared" si="42"/>
        <v>29775</v>
      </c>
      <c r="H45" s="4">
        <f t="shared" si="42"/>
        <v>29899</v>
      </c>
      <c r="I45" s="4">
        <f t="shared" si="42"/>
        <v>30023</v>
      </c>
      <c r="J45" s="4">
        <f t="shared" si="42"/>
        <v>30147</v>
      </c>
      <c r="K45" s="4">
        <f t="shared" si="42"/>
        <v>30271</v>
      </c>
      <c r="L45" s="4">
        <f t="shared" si="42"/>
        <v>30394</v>
      </c>
      <c r="M45" s="4">
        <f t="shared" si="42"/>
        <v>30518</v>
      </c>
      <c r="N45" s="4">
        <f t="shared" si="42"/>
        <v>30642</v>
      </c>
      <c r="O45" s="4">
        <f t="shared" si="42"/>
        <v>30766</v>
      </c>
      <c r="P45" s="4">
        <f t="shared" si="42"/>
        <v>30828</v>
      </c>
      <c r="Q45" s="4">
        <f t="shared" si="42"/>
        <v>30828</v>
      </c>
      <c r="R45" s="4">
        <f t="shared" si="42"/>
        <v>30828</v>
      </c>
      <c r="V45" s="4" t="s">
        <v>69</v>
      </c>
      <c r="W45" s="4" t="s">
        <v>67</v>
      </c>
      <c r="X45" s="4">
        <f t="shared" ref="X45:AI45" si="43">9-X37</f>
        <v>0</v>
      </c>
      <c r="Y45" s="4">
        <f t="shared" si="43"/>
        <v>0</v>
      </c>
      <c r="Z45" s="4">
        <f t="shared" si="43"/>
        <v>0</v>
      </c>
      <c r="AA45" s="4">
        <f t="shared" si="43"/>
        <v>0</v>
      </c>
      <c r="AB45" s="4">
        <f t="shared" si="43"/>
        <v>0.5</v>
      </c>
      <c r="AC45" s="4">
        <f t="shared" si="43"/>
        <v>1.5</v>
      </c>
      <c r="AD45" s="4">
        <f t="shared" si="43"/>
        <v>2.5</v>
      </c>
      <c r="AE45" s="4">
        <f t="shared" si="43"/>
        <v>3.5</v>
      </c>
      <c r="AF45" s="4">
        <f t="shared" si="43"/>
        <v>4.5</v>
      </c>
      <c r="AG45" s="4">
        <f t="shared" si="43"/>
        <v>5.5</v>
      </c>
      <c r="AH45" s="4">
        <f t="shared" si="43"/>
        <v>6.5</v>
      </c>
      <c r="AI45" s="4">
        <f t="shared" si="43"/>
        <v>7.5</v>
      </c>
      <c r="AJ45" s="4">
        <v>8.5</v>
      </c>
      <c r="AK45" s="4">
        <v>9</v>
      </c>
      <c r="AL45" s="4">
        <v>9</v>
      </c>
      <c r="AM45" s="4">
        <v>9</v>
      </c>
      <c r="AN45" s="4" t="s">
        <v>69</v>
      </c>
      <c r="AO45" s="4" t="s">
        <v>74</v>
      </c>
      <c r="AP45" s="4">
        <v>0</v>
      </c>
      <c r="AQ45" s="4">
        <v>0</v>
      </c>
      <c r="AR45" s="4">
        <v>0</v>
      </c>
      <c r="AS45" s="4">
        <v>0</v>
      </c>
      <c r="AT45" s="4">
        <v>0</v>
      </c>
      <c r="AU45" s="4">
        <v>0</v>
      </c>
      <c r="AV45" s="4">
        <v>0</v>
      </c>
      <c r="AW45" s="4">
        <v>0</v>
      </c>
      <c r="AX45" s="4">
        <v>0</v>
      </c>
      <c r="AY45" s="4">
        <v>0</v>
      </c>
      <c r="AZ45" s="4">
        <v>0</v>
      </c>
      <c r="BA45" s="4">
        <v>0</v>
      </c>
      <c r="BB45" s="4">
        <v>0</v>
      </c>
      <c r="BC45" s="4">
        <v>0</v>
      </c>
      <c r="BD45" s="4">
        <v>0</v>
      </c>
      <c r="BE45" s="4">
        <v>0</v>
      </c>
    </row>
    <row r="46" spans="1:57" ht="14.1" customHeight="1">
      <c r="A46" s="10" t="s">
        <v>87</v>
      </c>
      <c r="B46" s="4">
        <v>11</v>
      </c>
      <c r="C46" s="4">
        <f t="shared" si="41"/>
        <v>29642</v>
      </c>
      <c r="D46" s="4">
        <f t="shared" si="41"/>
        <v>29642</v>
      </c>
      <c r="E46" s="4">
        <f t="shared" si="41"/>
        <v>29642</v>
      </c>
      <c r="F46" s="4">
        <f t="shared" si="42"/>
        <v>29714</v>
      </c>
      <c r="G46" s="4">
        <f t="shared" si="42"/>
        <v>29775</v>
      </c>
      <c r="H46" s="4">
        <f t="shared" si="42"/>
        <v>29899</v>
      </c>
      <c r="I46" s="4">
        <f t="shared" si="42"/>
        <v>30023</v>
      </c>
      <c r="J46" s="4">
        <f t="shared" si="42"/>
        <v>30147</v>
      </c>
      <c r="K46" s="4">
        <f t="shared" si="42"/>
        <v>30271</v>
      </c>
      <c r="L46" s="4">
        <f t="shared" si="42"/>
        <v>30394</v>
      </c>
      <c r="M46" s="4">
        <f t="shared" si="42"/>
        <v>30518</v>
      </c>
      <c r="N46" s="4">
        <f t="shared" si="42"/>
        <v>30642</v>
      </c>
      <c r="O46" s="4">
        <f t="shared" si="42"/>
        <v>30766</v>
      </c>
      <c r="P46" s="4">
        <f t="shared" si="42"/>
        <v>30828</v>
      </c>
      <c r="Q46" s="4">
        <f t="shared" si="42"/>
        <v>30828</v>
      </c>
      <c r="R46" s="4">
        <f t="shared" si="42"/>
        <v>30828</v>
      </c>
      <c r="V46" s="4" t="s">
        <v>71</v>
      </c>
      <c r="W46" s="4" t="s">
        <v>93</v>
      </c>
      <c r="X46" s="4">
        <f t="shared" ref="X46:AI46" si="44">9-X38</f>
        <v>0</v>
      </c>
      <c r="Y46" s="4">
        <f t="shared" si="44"/>
        <v>0</v>
      </c>
      <c r="Z46" s="4">
        <f t="shared" si="44"/>
        <v>0</v>
      </c>
      <c r="AA46" s="4">
        <f t="shared" si="44"/>
        <v>0</v>
      </c>
      <c r="AB46" s="4">
        <f t="shared" si="44"/>
        <v>0.5</v>
      </c>
      <c r="AC46" s="4">
        <f t="shared" si="44"/>
        <v>1.5</v>
      </c>
      <c r="AD46" s="4">
        <f t="shared" si="44"/>
        <v>2.5</v>
      </c>
      <c r="AE46" s="4">
        <f t="shared" si="44"/>
        <v>3.5</v>
      </c>
      <c r="AF46" s="4">
        <f t="shared" si="44"/>
        <v>4.5</v>
      </c>
      <c r="AG46" s="4">
        <f t="shared" si="44"/>
        <v>5.5</v>
      </c>
      <c r="AH46" s="4">
        <f t="shared" si="44"/>
        <v>6.5</v>
      </c>
      <c r="AI46" s="4">
        <f t="shared" si="44"/>
        <v>7.5</v>
      </c>
      <c r="AJ46" s="4">
        <v>8.5</v>
      </c>
      <c r="AK46" s="4">
        <v>9</v>
      </c>
      <c r="AL46" s="4">
        <v>9</v>
      </c>
      <c r="AM46" s="4">
        <v>9</v>
      </c>
      <c r="AN46" s="4" t="s">
        <v>71</v>
      </c>
      <c r="AO46" s="4" t="s">
        <v>74</v>
      </c>
      <c r="AP46" s="4">
        <v>0</v>
      </c>
      <c r="AQ46" s="4">
        <v>0</v>
      </c>
      <c r="AR46" s="4">
        <v>0</v>
      </c>
      <c r="AS46" s="4">
        <v>0</v>
      </c>
      <c r="AT46" s="4">
        <v>0</v>
      </c>
      <c r="AU46" s="4">
        <v>0</v>
      </c>
      <c r="AV46" s="4">
        <v>0</v>
      </c>
      <c r="AW46" s="4">
        <v>0</v>
      </c>
      <c r="AX46" s="4">
        <v>0</v>
      </c>
      <c r="AY46" s="4">
        <v>0</v>
      </c>
      <c r="AZ46" s="4">
        <v>0</v>
      </c>
      <c r="BA46" s="4">
        <v>0</v>
      </c>
      <c r="BB46" s="4">
        <v>0</v>
      </c>
      <c r="BC46" s="4">
        <v>0</v>
      </c>
      <c r="BD46" s="4">
        <v>0</v>
      </c>
      <c r="BE46" s="4">
        <v>0</v>
      </c>
    </row>
    <row r="47" spans="1:57" ht="14.1" customHeight="1">
      <c r="A47" s="10" t="s">
        <v>88</v>
      </c>
      <c r="B47" s="4">
        <v>10</v>
      </c>
      <c r="C47" s="4">
        <f t="shared" ref="C47:E49" si="45">ROUND((($AB$29*(X37/9))+($AC$29*(X45/9))+($AD$29*(X53/9))+($AB$30*AP37)+($AC$30*AP45)*1),0)</f>
        <v>27842</v>
      </c>
      <c r="D47" s="4">
        <f t="shared" si="45"/>
        <v>27842</v>
      </c>
      <c r="E47" s="4">
        <f t="shared" si="45"/>
        <v>27842</v>
      </c>
      <c r="F47" s="4">
        <f t="shared" si="42"/>
        <v>27842</v>
      </c>
      <c r="G47" s="4">
        <f t="shared" si="42"/>
        <v>27904</v>
      </c>
      <c r="H47" s="4">
        <f t="shared" si="42"/>
        <v>28028</v>
      </c>
      <c r="I47" s="4">
        <f t="shared" si="42"/>
        <v>28151</v>
      </c>
      <c r="J47" s="4">
        <f t="shared" si="42"/>
        <v>28275</v>
      </c>
      <c r="K47" s="4">
        <f t="shared" si="42"/>
        <v>28399</v>
      </c>
      <c r="L47" s="4">
        <f t="shared" si="42"/>
        <v>28523</v>
      </c>
      <c r="M47" s="4">
        <f t="shared" si="42"/>
        <v>28647</v>
      </c>
      <c r="N47" s="4">
        <f t="shared" si="42"/>
        <v>28770</v>
      </c>
      <c r="O47" s="4">
        <f t="shared" si="42"/>
        <v>28894</v>
      </c>
      <c r="P47" s="4">
        <f t="shared" si="42"/>
        <v>28956</v>
      </c>
      <c r="Q47" s="4">
        <f t="shared" si="42"/>
        <v>28956</v>
      </c>
      <c r="R47" s="4">
        <f t="shared" si="42"/>
        <v>28956</v>
      </c>
      <c r="V47" s="4" t="s">
        <v>73</v>
      </c>
      <c r="W47" s="4" t="s">
        <v>74</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t="s">
        <v>94</v>
      </c>
      <c r="AO47" s="4" t="s">
        <v>74</v>
      </c>
      <c r="AP47" s="4">
        <v>0</v>
      </c>
      <c r="AQ47" s="4">
        <v>0</v>
      </c>
      <c r="AR47" s="4">
        <v>0</v>
      </c>
      <c r="AS47" s="4">
        <v>1</v>
      </c>
      <c r="AT47" s="4">
        <v>1</v>
      </c>
      <c r="AU47" s="4">
        <v>1</v>
      </c>
      <c r="AV47" s="4">
        <v>1</v>
      </c>
      <c r="AW47" s="4">
        <v>1</v>
      </c>
      <c r="AX47" s="4">
        <v>1</v>
      </c>
      <c r="AY47" s="4">
        <v>1</v>
      </c>
      <c r="AZ47" s="4">
        <v>1</v>
      </c>
      <c r="BA47" s="4">
        <v>1</v>
      </c>
      <c r="BB47" s="4">
        <v>1</v>
      </c>
      <c r="BC47" s="4">
        <v>1</v>
      </c>
      <c r="BD47" s="4">
        <v>1</v>
      </c>
      <c r="BE47" s="4">
        <v>1</v>
      </c>
    </row>
    <row r="48" spans="1:57" ht="14.1" customHeight="1">
      <c r="A48" s="10" t="s">
        <v>88</v>
      </c>
      <c r="B48" s="4">
        <v>9</v>
      </c>
      <c r="C48" s="4">
        <f t="shared" si="45"/>
        <v>27842</v>
      </c>
      <c r="D48" s="4">
        <f t="shared" si="45"/>
        <v>27842</v>
      </c>
      <c r="E48" s="4">
        <f t="shared" si="45"/>
        <v>27842</v>
      </c>
      <c r="F48" s="4">
        <f t="shared" si="42"/>
        <v>27842</v>
      </c>
      <c r="G48" s="4">
        <f t="shared" si="42"/>
        <v>27904</v>
      </c>
      <c r="H48" s="4">
        <f t="shared" si="42"/>
        <v>28028</v>
      </c>
      <c r="I48" s="4">
        <f t="shared" si="42"/>
        <v>28151</v>
      </c>
      <c r="J48" s="4">
        <f t="shared" si="42"/>
        <v>28275</v>
      </c>
      <c r="K48" s="4">
        <f t="shared" si="42"/>
        <v>28399</v>
      </c>
      <c r="L48" s="4">
        <f t="shared" si="42"/>
        <v>28523</v>
      </c>
      <c r="M48" s="4">
        <f t="shared" si="42"/>
        <v>28647</v>
      </c>
      <c r="N48" s="4">
        <f t="shared" si="42"/>
        <v>28770</v>
      </c>
      <c r="O48" s="4">
        <f t="shared" si="42"/>
        <v>28894</v>
      </c>
      <c r="P48" s="4">
        <f t="shared" si="42"/>
        <v>28956</v>
      </c>
      <c r="Q48" s="4">
        <f t="shared" si="42"/>
        <v>28956</v>
      </c>
      <c r="R48" s="4">
        <f t="shared" si="42"/>
        <v>28956</v>
      </c>
      <c r="W48" s="14" t="s">
        <v>95</v>
      </c>
      <c r="X48" s="14"/>
    </row>
    <row r="49" spans="1:39" ht="14.1" customHeight="1">
      <c r="A49" s="10" t="s">
        <v>89</v>
      </c>
      <c r="B49" s="31" t="s">
        <v>90</v>
      </c>
      <c r="C49" s="4">
        <f t="shared" si="45"/>
        <v>1800</v>
      </c>
      <c r="D49" s="4">
        <f t="shared" si="45"/>
        <v>1800</v>
      </c>
      <c r="E49" s="4">
        <f t="shared" si="45"/>
        <v>1800</v>
      </c>
      <c r="F49" s="4">
        <f t="shared" si="42"/>
        <v>1872</v>
      </c>
      <c r="G49" s="4">
        <f t="shared" si="42"/>
        <v>1872</v>
      </c>
      <c r="H49" s="4">
        <f t="shared" si="42"/>
        <v>1872</v>
      </c>
      <c r="I49" s="4">
        <f t="shared" si="42"/>
        <v>1872</v>
      </c>
      <c r="J49" s="4">
        <f t="shared" si="42"/>
        <v>1872</v>
      </c>
      <c r="K49" s="4">
        <f t="shared" si="42"/>
        <v>1872</v>
      </c>
      <c r="L49" s="4">
        <f t="shared" si="42"/>
        <v>1872</v>
      </c>
      <c r="M49" s="4">
        <f t="shared" si="42"/>
        <v>1872</v>
      </c>
      <c r="N49" s="4">
        <f t="shared" si="42"/>
        <v>1872</v>
      </c>
      <c r="O49" s="4">
        <f t="shared" si="42"/>
        <v>1872</v>
      </c>
      <c r="P49" s="4">
        <f t="shared" si="42"/>
        <v>1872</v>
      </c>
      <c r="Q49" s="4">
        <f t="shared" si="42"/>
        <v>1872</v>
      </c>
      <c r="R49" s="4">
        <f t="shared" si="42"/>
        <v>1872</v>
      </c>
      <c r="W49" s="14"/>
      <c r="X49" s="14"/>
    </row>
    <row r="50" spans="1:39" ht="14.1" customHeight="1">
      <c r="V50" s="115"/>
      <c r="W50" s="115"/>
      <c r="X50" s="110">
        <f t="shared" ref="X50:AM50" si="46">+C54</f>
        <v>44012</v>
      </c>
      <c r="Y50" s="110">
        <f t="shared" si="46"/>
        <v>44027</v>
      </c>
      <c r="Z50" s="110">
        <f t="shared" si="46"/>
        <v>44043</v>
      </c>
      <c r="AA50" s="110">
        <f t="shared" si="46"/>
        <v>44058</v>
      </c>
      <c r="AB50" s="110">
        <f t="shared" si="46"/>
        <v>44074</v>
      </c>
      <c r="AC50" s="110">
        <f t="shared" si="46"/>
        <v>44104</v>
      </c>
      <c r="AD50" s="110">
        <f t="shared" si="46"/>
        <v>44135</v>
      </c>
      <c r="AE50" s="110">
        <f t="shared" si="46"/>
        <v>44165</v>
      </c>
      <c r="AF50" s="110">
        <f t="shared" si="46"/>
        <v>44196</v>
      </c>
      <c r="AG50" s="110">
        <f t="shared" si="46"/>
        <v>44227</v>
      </c>
      <c r="AH50" s="110">
        <f t="shared" si="46"/>
        <v>44255</v>
      </c>
      <c r="AI50" s="110">
        <f t="shared" si="46"/>
        <v>44286</v>
      </c>
      <c r="AJ50" s="110">
        <f t="shared" si="46"/>
        <v>44316</v>
      </c>
      <c r="AK50" s="110">
        <f t="shared" si="46"/>
        <v>44331</v>
      </c>
      <c r="AL50" s="110">
        <f t="shared" si="46"/>
        <v>44347</v>
      </c>
      <c r="AM50" s="110">
        <f t="shared" si="46"/>
        <v>44362</v>
      </c>
    </row>
    <row r="51" spans="1:39" ht="14.1" customHeight="1" thickBot="1">
      <c r="A51" s="6" t="s">
        <v>96</v>
      </c>
      <c r="B51" s="7"/>
      <c r="C51" s="7"/>
      <c r="D51" s="7"/>
      <c r="E51" s="7"/>
      <c r="F51" s="7"/>
      <c r="G51" s="7"/>
      <c r="H51" s="7"/>
      <c r="I51" s="7"/>
      <c r="J51" s="7"/>
      <c r="K51" s="7"/>
      <c r="L51" s="7"/>
      <c r="M51" s="7"/>
      <c r="N51" s="7"/>
      <c r="O51" s="7"/>
      <c r="P51" s="7"/>
      <c r="Q51" s="7"/>
      <c r="R51" s="7"/>
      <c r="V51" s="4" t="s">
        <v>60</v>
      </c>
      <c r="W51" s="4" t="s">
        <v>61</v>
      </c>
      <c r="X51" s="4">
        <f t="shared" ref="X51:AM51" si="47">9-(X43+X35)</f>
        <v>0</v>
      </c>
      <c r="Y51" s="4">
        <f t="shared" si="47"/>
        <v>0</v>
      </c>
      <c r="Z51" s="4">
        <f t="shared" si="47"/>
        <v>0</v>
      </c>
      <c r="AA51" s="4">
        <f t="shared" si="47"/>
        <v>0</v>
      </c>
      <c r="AB51" s="4">
        <f t="shared" si="47"/>
        <v>0</v>
      </c>
      <c r="AC51" s="4">
        <f t="shared" si="47"/>
        <v>0</v>
      </c>
      <c r="AD51" s="4">
        <f t="shared" si="47"/>
        <v>0</v>
      </c>
      <c r="AE51" s="4">
        <f t="shared" si="47"/>
        <v>0</v>
      </c>
      <c r="AF51" s="4">
        <f t="shared" si="47"/>
        <v>0</v>
      </c>
      <c r="AG51" s="4">
        <f t="shared" si="47"/>
        <v>0</v>
      </c>
      <c r="AH51" s="4">
        <f t="shared" si="47"/>
        <v>0</v>
      </c>
      <c r="AI51" s="4">
        <f t="shared" si="47"/>
        <v>0</v>
      </c>
      <c r="AJ51" s="4">
        <f t="shared" si="47"/>
        <v>0</v>
      </c>
      <c r="AK51" s="4">
        <f t="shared" si="47"/>
        <v>0</v>
      </c>
      <c r="AL51" s="4">
        <f t="shared" si="47"/>
        <v>0</v>
      </c>
      <c r="AM51" s="4">
        <f t="shared" si="47"/>
        <v>0</v>
      </c>
    </row>
    <row r="52" spans="1:39" ht="14.1" customHeight="1">
      <c r="A52" s="21" t="s">
        <v>84</v>
      </c>
      <c r="B52" s="22">
        <v>0.04</v>
      </c>
      <c r="C52" s="4" t="s">
        <v>85</v>
      </c>
      <c r="V52" s="4" t="s">
        <v>65</v>
      </c>
      <c r="W52" s="4" t="s">
        <v>66</v>
      </c>
      <c r="X52" s="4">
        <f t="shared" ref="X52:AM52" si="48">9-(X44+X36)</f>
        <v>0</v>
      </c>
      <c r="Y52" s="4">
        <f t="shared" si="48"/>
        <v>0</v>
      </c>
      <c r="Z52" s="4">
        <f t="shared" si="48"/>
        <v>0</v>
      </c>
      <c r="AA52" s="4">
        <f t="shared" si="48"/>
        <v>0</v>
      </c>
      <c r="AB52" s="4">
        <f t="shared" si="48"/>
        <v>0</v>
      </c>
      <c r="AC52" s="4">
        <f t="shared" si="48"/>
        <v>0</v>
      </c>
      <c r="AD52" s="4">
        <f t="shared" si="48"/>
        <v>0</v>
      </c>
      <c r="AE52" s="4">
        <f t="shared" si="48"/>
        <v>0</v>
      </c>
      <c r="AF52" s="4">
        <f t="shared" si="48"/>
        <v>0</v>
      </c>
      <c r="AG52" s="4">
        <f t="shared" si="48"/>
        <v>0</v>
      </c>
      <c r="AH52" s="4">
        <f t="shared" si="48"/>
        <v>0</v>
      </c>
      <c r="AI52" s="4">
        <f t="shared" si="48"/>
        <v>0</v>
      </c>
      <c r="AJ52" s="4">
        <f t="shared" si="48"/>
        <v>0</v>
      </c>
      <c r="AK52" s="4">
        <f t="shared" si="48"/>
        <v>0</v>
      </c>
      <c r="AL52" s="4">
        <f t="shared" si="48"/>
        <v>0</v>
      </c>
      <c r="AM52" s="4">
        <f t="shared" si="48"/>
        <v>0</v>
      </c>
    </row>
    <row r="53" spans="1:39" ht="14.1" customHeight="1">
      <c r="B53" s="13" t="s">
        <v>54</v>
      </c>
      <c r="V53" s="4" t="s">
        <v>69</v>
      </c>
      <c r="W53" s="4" t="s">
        <v>66</v>
      </c>
      <c r="X53" s="4">
        <f t="shared" ref="X53:AM53" si="49">9-(X45+X37)</f>
        <v>0</v>
      </c>
      <c r="Y53" s="4">
        <f t="shared" si="49"/>
        <v>0</v>
      </c>
      <c r="Z53" s="4">
        <f t="shared" si="49"/>
        <v>0</v>
      </c>
      <c r="AA53" s="4">
        <f t="shared" si="49"/>
        <v>0</v>
      </c>
      <c r="AB53" s="4">
        <f t="shared" si="49"/>
        <v>0</v>
      </c>
      <c r="AC53" s="4">
        <f t="shared" si="49"/>
        <v>0</v>
      </c>
      <c r="AD53" s="4">
        <f t="shared" si="49"/>
        <v>0</v>
      </c>
      <c r="AE53" s="4">
        <f t="shared" si="49"/>
        <v>0</v>
      </c>
      <c r="AF53" s="4">
        <f t="shared" si="49"/>
        <v>0</v>
      </c>
      <c r="AG53" s="4">
        <f t="shared" si="49"/>
        <v>0</v>
      </c>
      <c r="AH53" s="4">
        <f t="shared" si="49"/>
        <v>0</v>
      </c>
      <c r="AI53" s="4">
        <f t="shared" si="49"/>
        <v>0</v>
      </c>
      <c r="AJ53" s="4">
        <f t="shared" si="49"/>
        <v>0</v>
      </c>
      <c r="AK53" s="4">
        <f t="shared" si="49"/>
        <v>0</v>
      </c>
      <c r="AL53" s="4">
        <f t="shared" si="49"/>
        <v>0</v>
      </c>
      <c r="AM53" s="4">
        <f t="shared" si="49"/>
        <v>0</v>
      </c>
    </row>
    <row r="54" spans="1:39" ht="14.1" customHeight="1">
      <c r="A54" s="16"/>
      <c r="B54" s="17" t="s">
        <v>58</v>
      </c>
      <c r="C54" s="18">
        <f t="shared" ref="C54:R54" si="50">+C43</f>
        <v>44012</v>
      </c>
      <c r="D54" s="18">
        <f t="shared" si="50"/>
        <v>44027</v>
      </c>
      <c r="E54" s="18">
        <f t="shared" si="50"/>
        <v>44043</v>
      </c>
      <c r="F54" s="18">
        <f t="shared" si="50"/>
        <v>44058</v>
      </c>
      <c r="G54" s="18">
        <f t="shared" si="50"/>
        <v>44074</v>
      </c>
      <c r="H54" s="18">
        <f t="shared" si="50"/>
        <v>44104</v>
      </c>
      <c r="I54" s="18">
        <f t="shared" si="50"/>
        <v>44135</v>
      </c>
      <c r="J54" s="18">
        <f t="shared" si="50"/>
        <v>44165</v>
      </c>
      <c r="K54" s="18">
        <f t="shared" si="50"/>
        <v>44196</v>
      </c>
      <c r="L54" s="18">
        <f t="shared" si="50"/>
        <v>44227</v>
      </c>
      <c r="M54" s="18">
        <f t="shared" si="50"/>
        <v>44255</v>
      </c>
      <c r="N54" s="18">
        <f t="shared" si="50"/>
        <v>44286</v>
      </c>
      <c r="O54" s="18">
        <f t="shared" si="50"/>
        <v>44316</v>
      </c>
      <c r="P54" s="18">
        <f t="shared" si="50"/>
        <v>44331</v>
      </c>
      <c r="Q54" s="18">
        <f t="shared" si="50"/>
        <v>44347</v>
      </c>
      <c r="R54" s="18">
        <f t="shared" si="50"/>
        <v>44362</v>
      </c>
      <c r="V54" s="4" t="s">
        <v>71</v>
      </c>
      <c r="W54" s="4" t="s">
        <v>66</v>
      </c>
      <c r="X54" s="4">
        <f t="shared" ref="X54:AM54" si="51">9-(X46+X38)</f>
        <v>0</v>
      </c>
      <c r="Y54" s="4">
        <f t="shared" si="51"/>
        <v>0</v>
      </c>
      <c r="Z54" s="4">
        <f t="shared" si="51"/>
        <v>0</v>
      </c>
      <c r="AA54" s="4">
        <f t="shared" si="51"/>
        <v>0</v>
      </c>
      <c r="AB54" s="4">
        <f t="shared" si="51"/>
        <v>0</v>
      </c>
      <c r="AC54" s="4">
        <f t="shared" si="51"/>
        <v>0</v>
      </c>
      <c r="AD54" s="4">
        <f t="shared" si="51"/>
        <v>0</v>
      </c>
      <c r="AE54" s="4">
        <f t="shared" si="51"/>
        <v>0</v>
      </c>
      <c r="AF54" s="4">
        <f t="shared" si="51"/>
        <v>0</v>
      </c>
      <c r="AG54" s="4">
        <f t="shared" si="51"/>
        <v>0</v>
      </c>
      <c r="AH54" s="4">
        <f t="shared" si="51"/>
        <v>0</v>
      </c>
      <c r="AI54" s="4">
        <f t="shared" si="51"/>
        <v>0</v>
      </c>
      <c r="AJ54" s="4">
        <f t="shared" si="51"/>
        <v>0</v>
      </c>
      <c r="AK54" s="4">
        <f t="shared" si="51"/>
        <v>0</v>
      </c>
      <c r="AL54" s="4">
        <f t="shared" si="51"/>
        <v>0</v>
      </c>
      <c r="AM54" s="4">
        <f t="shared" si="51"/>
        <v>0</v>
      </c>
    </row>
    <row r="55" spans="1:39" ht="14.1" customHeight="1">
      <c r="V55" s="4" t="s">
        <v>73</v>
      </c>
      <c r="W55" s="4" t="s">
        <v>74</v>
      </c>
      <c r="X55" s="4">
        <v>0</v>
      </c>
      <c r="Y55" s="4">
        <v>0</v>
      </c>
      <c r="Z55" s="4">
        <v>0</v>
      </c>
      <c r="AA55" s="4">
        <v>0</v>
      </c>
      <c r="AB55" s="4">
        <v>0</v>
      </c>
      <c r="AC55" s="4">
        <v>0</v>
      </c>
      <c r="AD55" s="4">
        <v>0</v>
      </c>
      <c r="AE55" s="4">
        <v>0</v>
      </c>
      <c r="AF55" s="4">
        <v>0</v>
      </c>
      <c r="AG55" s="4">
        <v>0</v>
      </c>
      <c r="AH55" s="4">
        <v>0</v>
      </c>
      <c r="AI55" s="4">
        <v>0</v>
      </c>
      <c r="AJ55" s="4">
        <v>0</v>
      </c>
      <c r="AK55" s="4">
        <v>0</v>
      </c>
      <c r="AL55" s="4">
        <v>0</v>
      </c>
      <c r="AM55" s="4">
        <v>0</v>
      </c>
    </row>
    <row r="56" spans="1:39" ht="14.1" customHeight="1">
      <c r="A56" s="32" t="s">
        <v>97</v>
      </c>
      <c r="B56" s="33"/>
      <c r="C56" s="4">
        <f>ROUND((($AF$29*(X38/9))+($AG$29*(X46/9))+($AH$29*(X54/9))+($AF$30*AP38)+($AG$30*AP46)*1),0)</f>
        <v>2524</v>
      </c>
      <c r="D56" s="4">
        <f t="shared" ref="D56:R56" si="52">ROUND((($AF$29*(Y38/9))+($AG$29*(Y46/9))+($AH$29*(Y54/9))+($AF$30*AQ38)+($AG$30*AQ46)*1),0)</f>
        <v>2524</v>
      </c>
      <c r="E56" s="4">
        <f t="shared" si="52"/>
        <v>2524</v>
      </c>
      <c r="F56" s="4">
        <f t="shared" si="52"/>
        <v>2524</v>
      </c>
      <c r="G56" s="4">
        <f t="shared" si="52"/>
        <v>2530</v>
      </c>
      <c r="H56" s="4">
        <f t="shared" si="52"/>
        <v>2541</v>
      </c>
      <c r="I56" s="4">
        <f t="shared" si="52"/>
        <v>2552</v>
      </c>
      <c r="J56" s="4">
        <f t="shared" si="52"/>
        <v>2563</v>
      </c>
      <c r="K56" s="4">
        <f t="shared" si="52"/>
        <v>2575</v>
      </c>
      <c r="L56" s="4">
        <f t="shared" si="52"/>
        <v>2586</v>
      </c>
      <c r="M56" s="4">
        <f t="shared" si="52"/>
        <v>2597</v>
      </c>
      <c r="N56" s="4">
        <f t="shared" si="52"/>
        <v>2608</v>
      </c>
      <c r="O56" s="4">
        <f t="shared" si="52"/>
        <v>2619</v>
      </c>
      <c r="P56" s="4">
        <f t="shared" si="52"/>
        <v>2625</v>
      </c>
      <c r="Q56" s="4">
        <f t="shared" si="52"/>
        <v>2625</v>
      </c>
      <c r="R56" s="4">
        <f t="shared" si="52"/>
        <v>2625</v>
      </c>
    </row>
    <row r="57" spans="1:39" ht="14.1" customHeight="1">
      <c r="Q57" s="34"/>
      <c r="R57" s="34"/>
    </row>
  </sheetData>
  <sheetProtection algorithmName="SHA-512" hashValue="OTYt3kyPgVSYhr1Zs94OXuM8vbtioV/rowCG2EVapkNH/FUkJziO0pByCEPfmLKiAiNRReZszNQ+Q8tdPRmeYg==" saltValue="bp8qPVCfDg1KRkMZSPvMWg==" spinCount="100000" sheet="1" objects="1" scenarios="1"/>
  <phoneticPr fontId="0" type="noConversion"/>
  <pageMargins left="0.2" right="0.2" top="0.2" bottom="0.2" header="0" footer="0"/>
  <pageSetup paperSize="151" scale="10" orientation="landscape" r:id="rId1"/>
  <headerFooter alignWithMargins="0"/>
  <ignoredErrors>
    <ignoredError sqref="C56" emptyCellReferenc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39997558519241921"/>
    <pageSetUpPr fitToPage="1"/>
  </sheetPr>
  <dimension ref="A1:BY55"/>
  <sheetViews>
    <sheetView zoomScaleNormal="100" workbookViewId="0"/>
  </sheetViews>
  <sheetFormatPr defaultRowHeight="13.5"/>
  <cols>
    <col min="1" max="1" width="12.5703125" style="10" customWidth="1"/>
    <col min="2" max="2" width="7.7109375" style="4" customWidth="1"/>
    <col min="3" max="18" width="9.7109375" style="4" customWidth="1"/>
    <col min="19" max="22" width="11.42578125" style="4" hidden="1" customWidth="1"/>
    <col min="23" max="23" width="16" style="4" hidden="1" customWidth="1"/>
    <col min="24" max="47" width="11.42578125" style="4" hidden="1" customWidth="1"/>
    <col min="48" max="48" width="11.42578125" style="1535" hidden="1" customWidth="1"/>
    <col min="49" max="75" width="11.42578125" style="4" hidden="1" customWidth="1"/>
    <col min="76" max="76" width="9.7109375" style="4" hidden="1" customWidth="1"/>
    <col min="77" max="77" width="9.140625" style="4" hidden="1" customWidth="1"/>
    <col min="78" max="78" width="9.140625" style="4" customWidth="1"/>
    <col min="79" max="16384" width="9.140625" style="4"/>
  </cols>
  <sheetData>
    <row r="1" spans="1:76" ht="24.75" thickBot="1">
      <c r="A1" s="36" t="s">
        <v>49</v>
      </c>
      <c r="B1" s="2"/>
      <c r="C1" s="2"/>
      <c r="D1" s="2"/>
      <c r="E1" s="2"/>
      <c r="F1" s="2"/>
      <c r="G1" s="2"/>
      <c r="H1" s="2"/>
      <c r="I1" s="2"/>
      <c r="J1" s="2"/>
      <c r="K1" s="2"/>
      <c r="L1" s="2"/>
      <c r="M1" s="2"/>
      <c r="N1" s="2"/>
      <c r="O1" s="2"/>
      <c r="P1" s="2"/>
      <c r="Q1" s="2"/>
      <c r="R1" s="3"/>
      <c r="T1" s="4" t="s">
        <v>256</v>
      </c>
      <c r="U1" s="1112">
        <v>4685</v>
      </c>
      <c r="V1" s="4">
        <f>ROUND(U1*1.04,0)</f>
        <v>4872</v>
      </c>
      <c r="W1" s="4">
        <f>ROUND(V1*1.04,0)</f>
        <v>5067</v>
      </c>
      <c r="AV1" s="1534">
        <f>+AV17+AV7</f>
        <v>0</v>
      </c>
    </row>
    <row r="2" spans="1:76" ht="20.25" thickTop="1" thickBot="1">
      <c r="A2" s="6" t="s">
        <v>51</v>
      </c>
      <c r="B2" s="7"/>
      <c r="C2" s="39" t="s">
        <v>337</v>
      </c>
      <c r="D2" s="7"/>
      <c r="E2" s="7"/>
      <c r="F2" s="7"/>
      <c r="G2" s="7"/>
      <c r="H2" s="7"/>
      <c r="I2" s="7"/>
      <c r="J2" s="7"/>
      <c r="K2" s="7"/>
      <c r="L2" s="7"/>
      <c r="M2" s="8"/>
      <c r="N2" s="9"/>
      <c r="O2" s="7"/>
      <c r="P2" s="7"/>
      <c r="Q2" s="123"/>
      <c r="R2" s="37"/>
      <c r="T2" s="4" t="s">
        <v>325</v>
      </c>
      <c r="U2" s="1112">
        <v>4199</v>
      </c>
      <c r="V2" s="4">
        <f>ROUND(U2*1.04,0)</f>
        <v>4367</v>
      </c>
      <c r="W2" s="4">
        <f>ROUND(V2*1.04,0)</f>
        <v>4542</v>
      </c>
      <c r="AV2" s="1534"/>
    </row>
    <row r="4" spans="1:76" ht="15.75">
      <c r="A4" s="11" t="s">
        <v>269</v>
      </c>
      <c r="B4" s="12"/>
      <c r="C4" s="1"/>
      <c r="D4" s="1"/>
      <c r="E4" s="1"/>
      <c r="F4" s="1"/>
      <c r="G4" s="1"/>
      <c r="H4" s="1"/>
      <c r="I4" s="1"/>
      <c r="J4" s="1"/>
      <c r="K4" s="1"/>
      <c r="L4" s="1"/>
      <c r="M4" s="1"/>
      <c r="N4" s="1"/>
      <c r="O4" s="1"/>
      <c r="P4" s="1"/>
      <c r="Q4" s="1"/>
      <c r="R4" s="1"/>
      <c r="AV4" s="1534"/>
    </row>
    <row r="5" spans="1:76" ht="15.75">
      <c r="A5" s="11"/>
      <c r="B5" s="13" t="s">
        <v>54</v>
      </c>
      <c r="C5" s="1"/>
      <c r="D5" s="1"/>
      <c r="E5" s="1"/>
      <c r="F5" s="1"/>
      <c r="G5" s="1"/>
      <c r="H5" s="1"/>
      <c r="I5" s="1"/>
      <c r="J5" s="1"/>
      <c r="K5" s="1"/>
      <c r="L5" s="1"/>
      <c r="M5" s="1"/>
      <c r="N5" s="1"/>
      <c r="O5" s="1"/>
      <c r="P5" s="1"/>
      <c r="Q5" s="1"/>
      <c r="R5" s="1"/>
      <c r="V5" s="117" t="s">
        <v>53</v>
      </c>
      <c r="W5" s="112">
        <v>0.5</v>
      </c>
      <c r="X5" s="15">
        <f t="shared" ref="X5:AM5" si="0">+(D7-C7)/C7</f>
        <v>1.672002845962291E-3</v>
      </c>
      <c r="Y5" s="15">
        <f t="shared" si="0"/>
        <v>1.6692119188834037E-3</v>
      </c>
      <c r="Z5" s="15">
        <f t="shared" si="0"/>
        <v>1.6309743298822863E-3</v>
      </c>
      <c r="AA5" s="15">
        <f t="shared" si="0"/>
        <v>1.663716814159292E-3</v>
      </c>
      <c r="AB5" s="15">
        <f t="shared" si="0"/>
        <v>3.3219069159274835E-3</v>
      </c>
      <c r="AC5" s="15">
        <f t="shared" si="0"/>
        <v>1.852699799232151E-2</v>
      </c>
      <c r="AD5" s="15">
        <f t="shared" si="0"/>
        <v>-1.1723207801639175E-2</v>
      </c>
      <c r="AE5" s="15">
        <f t="shared" si="0"/>
        <v>3.2542515221499054E-3</v>
      </c>
      <c r="AF5" s="15">
        <f t="shared" si="0"/>
        <v>3.278574169020962E-3</v>
      </c>
      <c r="AG5" s="15">
        <f t="shared" si="0"/>
        <v>3.2330957761168085E-3</v>
      </c>
      <c r="AH5" s="15">
        <f t="shared" si="0"/>
        <v>3.2573289902280132E-3</v>
      </c>
      <c r="AI5" s="15">
        <f t="shared" si="0"/>
        <v>3.2122133185962971E-3</v>
      </c>
      <c r="AJ5" s="15">
        <f t="shared" si="0"/>
        <v>1.6181786882423824E-3</v>
      </c>
      <c r="AK5" s="15">
        <f t="shared" si="0"/>
        <v>1.6155644163343874E-3</v>
      </c>
      <c r="AL5" s="15">
        <f t="shared" si="0"/>
        <v>1.5786403102371392E-3</v>
      </c>
      <c r="AM5" s="15">
        <f t="shared" si="0"/>
        <v>-1</v>
      </c>
      <c r="AN5" s="117" t="s">
        <v>53</v>
      </c>
      <c r="AO5" s="112">
        <f>+W5</f>
        <v>0.5</v>
      </c>
      <c r="AP5" s="117">
        <f t="shared" ref="AP5:BE5" si="1">+AP17+AP7</f>
        <v>3</v>
      </c>
      <c r="AQ5" s="15">
        <f t="shared" si="1"/>
        <v>3</v>
      </c>
      <c r="AR5" s="15">
        <f t="shared" si="1"/>
        <v>3</v>
      </c>
      <c r="AS5" s="15">
        <f t="shared" si="1"/>
        <v>3</v>
      </c>
      <c r="AT5" s="15">
        <f t="shared" si="1"/>
        <v>3</v>
      </c>
      <c r="AU5" s="15">
        <f t="shared" si="1"/>
        <v>3</v>
      </c>
      <c r="AV5" s="1534"/>
      <c r="AW5" s="15">
        <f t="shared" si="1"/>
        <v>3</v>
      </c>
      <c r="AX5" s="15">
        <f t="shared" si="1"/>
        <v>3</v>
      </c>
      <c r="AY5" s="15">
        <f t="shared" si="1"/>
        <v>3</v>
      </c>
      <c r="AZ5" s="15">
        <f t="shared" si="1"/>
        <v>3</v>
      </c>
      <c r="BA5" s="15">
        <f t="shared" si="1"/>
        <v>3</v>
      </c>
      <c r="BB5" s="15">
        <f t="shared" si="1"/>
        <v>3</v>
      </c>
      <c r="BC5" s="15">
        <f t="shared" si="1"/>
        <v>3</v>
      </c>
      <c r="BD5" s="15">
        <f t="shared" si="1"/>
        <v>3</v>
      </c>
      <c r="BE5" s="15">
        <f t="shared" si="1"/>
        <v>3</v>
      </c>
      <c r="BG5" s="117" t="s">
        <v>53</v>
      </c>
      <c r="BH5" s="112">
        <v>0.5</v>
      </c>
      <c r="BI5" s="15"/>
      <c r="BJ5" s="15"/>
      <c r="BK5" s="15"/>
      <c r="BL5" s="15"/>
      <c r="BM5" s="15"/>
      <c r="BN5" s="15"/>
      <c r="BO5" s="15"/>
      <c r="BP5" s="15"/>
      <c r="BQ5" s="15"/>
      <c r="BR5" s="15"/>
      <c r="BS5" s="15"/>
      <c r="BT5" s="15"/>
      <c r="BU5" s="15"/>
      <c r="BV5" s="15"/>
      <c r="BW5" s="15"/>
      <c r="BX5" s="15"/>
    </row>
    <row r="6" spans="1:76" ht="14.25">
      <c r="A6" s="16"/>
      <c r="B6" s="17" t="s">
        <v>58</v>
      </c>
      <c r="C6" s="18">
        <f>'GRA 26-60 Matrices'!C12</f>
        <v>44012</v>
      </c>
      <c r="D6" s="18">
        <f>'GRA 26-60 Matrices'!D12</f>
        <v>44027</v>
      </c>
      <c r="E6" s="18">
        <f>'GRA 26-60 Matrices'!E12</f>
        <v>44043</v>
      </c>
      <c r="F6" s="18">
        <f>'GRA 26-60 Matrices'!F12</f>
        <v>44058</v>
      </c>
      <c r="G6" s="18">
        <f>'GRA 26-60 Matrices'!G12</f>
        <v>44074</v>
      </c>
      <c r="H6" s="18">
        <f>'GRA 26-60 Matrices'!H12</f>
        <v>44104</v>
      </c>
      <c r="I6" s="18">
        <f>'GRA 26-60 Matrices'!I12</f>
        <v>44135</v>
      </c>
      <c r="J6" s="18">
        <f>'GRA 26-60 Matrices'!J12</f>
        <v>44165</v>
      </c>
      <c r="K6" s="18">
        <f>'GRA 26-60 Matrices'!K12</f>
        <v>44196</v>
      </c>
      <c r="L6" s="18">
        <f>'GRA 26-60 Matrices'!L12</f>
        <v>44227</v>
      </c>
      <c r="M6" s="18">
        <f>'GRA 26-60 Matrices'!M12</f>
        <v>44255</v>
      </c>
      <c r="N6" s="18">
        <f>'GRA 26-60 Matrices'!N12</f>
        <v>44286</v>
      </c>
      <c r="O6" s="18">
        <f>'GRA 26-60 Matrices'!O12</f>
        <v>44316</v>
      </c>
      <c r="P6" s="18">
        <f>'GRA 26-60 Matrices'!P12</f>
        <v>44331</v>
      </c>
      <c r="Q6" s="18">
        <f>'GRA 26-60 Matrices'!Q12</f>
        <v>44347</v>
      </c>
      <c r="R6" s="18">
        <f>'GRA 26-60 Matrices'!R12</f>
        <v>44362</v>
      </c>
      <c r="V6" s="115" t="s">
        <v>55</v>
      </c>
      <c r="W6" s="116"/>
      <c r="X6" s="19">
        <f t="shared" ref="X6:AM6" si="2">+C6</f>
        <v>44012</v>
      </c>
      <c r="Y6" s="19">
        <f t="shared" si="2"/>
        <v>44027</v>
      </c>
      <c r="Z6" s="19">
        <f t="shared" si="2"/>
        <v>44043</v>
      </c>
      <c r="AA6" s="19">
        <f t="shared" si="2"/>
        <v>44058</v>
      </c>
      <c r="AB6" s="19">
        <f t="shared" si="2"/>
        <v>44074</v>
      </c>
      <c r="AC6" s="19">
        <f t="shared" si="2"/>
        <v>44104</v>
      </c>
      <c r="AD6" s="19">
        <f t="shared" si="2"/>
        <v>44135</v>
      </c>
      <c r="AE6" s="19">
        <f t="shared" si="2"/>
        <v>44165</v>
      </c>
      <c r="AF6" s="19">
        <f t="shared" si="2"/>
        <v>44196</v>
      </c>
      <c r="AG6" s="19">
        <f t="shared" si="2"/>
        <v>44227</v>
      </c>
      <c r="AH6" s="19">
        <f t="shared" si="2"/>
        <v>44255</v>
      </c>
      <c r="AI6" s="19">
        <f t="shared" si="2"/>
        <v>44286</v>
      </c>
      <c r="AJ6" s="19">
        <f t="shared" si="2"/>
        <v>44316</v>
      </c>
      <c r="AK6" s="19">
        <f t="shared" si="2"/>
        <v>44331</v>
      </c>
      <c r="AL6" s="19">
        <f t="shared" si="2"/>
        <v>44347</v>
      </c>
      <c r="AM6" s="19">
        <f t="shared" si="2"/>
        <v>44362</v>
      </c>
      <c r="AN6" s="115" t="s">
        <v>56</v>
      </c>
      <c r="AO6" s="115"/>
      <c r="AP6" s="116">
        <f t="shared" ref="AP6:BE6" si="3">+X6</f>
        <v>44012</v>
      </c>
      <c r="AQ6" s="19">
        <f t="shared" si="3"/>
        <v>44027</v>
      </c>
      <c r="AR6" s="19">
        <f t="shared" si="3"/>
        <v>44043</v>
      </c>
      <c r="AS6" s="19">
        <f t="shared" si="3"/>
        <v>44058</v>
      </c>
      <c r="AT6" s="19">
        <f t="shared" si="3"/>
        <v>44074</v>
      </c>
      <c r="AU6" s="19">
        <f t="shared" si="3"/>
        <v>44104</v>
      </c>
      <c r="AV6" s="1534"/>
      <c r="AW6" s="19">
        <f t="shared" si="3"/>
        <v>44165</v>
      </c>
      <c r="AX6" s="19">
        <f t="shared" si="3"/>
        <v>44196</v>
      </c>
      <c r="AY6" s="19">
        <f t="shared" si="3"/>
        <v>44227</v>
      </c>
      <c r="AZ6" s="19">
        <f t="shared" si="3"/>
        <v>44255</v>
      </c>
      <c r="BA6" s="19">
        <f t="shared" si="3"/>
        <v>44286</v>
      </c>
      <c r="BB6" s="19">
        <f t="shared" si="3"/>
        <v>44316</v>
      </c>
      <c r="BC6" s="19">
        <f t="shared" si="3"/>
        <v>44331</v>
      </c>
      <c r="BD6" s="19">
        <f t="shared" si="3"/>
        <v>44347</v>
      </c>
      <c r="BE6" s="19">
        <f t="shared" si="3"/>
        <v>44362</v>
      </c>
      <c r="BG6" s="118" t="s">
        <v>57</v>
      </c>
      <c r="BH6" s="115"/>
      <c r="BI6" s="19">
        <v>35064</v>
      </c>
      <c r="BJ6" s="19">
        <v>35095</v>
      </c>
      <c r="BK6" s="19">
        <v>35124</v>
      </c>
      <c r="BL6" s="19">
        <v>35155</v>
      </c>
      <c r="BM6" s="19">
        <v>35185</v>
      </c>
      <c r="BN6" s="19">
        <v>35200</v>
      </c>
      <c r="BO6" s="19">
        <v>35216</v>
      </c>
      <c r="BP6" s="19">
        <v>35231</v>
      </c>
      <c r="BQ6" s="19">
        <v>35246</v>
      </c>
      <c r="BR6" s="19">
        <v>35261</v>
      </c>
      <c r="BS6" s="19">
        <v>35277</v>
      </c>
      <c r="BT6" s="19">
        <v>35292</v>
      </c>
      <c r="BU6" s="19">
        <v>35308</v>
      </c>
      <c r="BV6" s="19">
        <v>35338</v>
      </c>
      <c r="BW6" s="19">
        <v>35369</v>
      </c>
      <c r="BX6" s="19">
        <v>35399</v>
      </c>
    </row>
    <row r="7" spans="1:76">
      <c r="A7" s="10" t="s">
        <v>59</v>
      </c>
      <c r="B7" s="4">
        <v>12</v>
      </c>
      <c r="C7" s="4">
        <f t="shared" ref="C7:R7" si="4">ROUND((($U$1*X$7)+($V$1*X$17)+($U$1*AP$7)+($V$1*AP$17)+($W$1*(3-(AP$7+AP$17)))+($W$1*(9-(X$7+X$17))))*$AO$5,0)</f>
        <v>28110</v>
      </c>
      <c r="D7" s="4">
        <f t="shared" si="4"/>
        <v>28157</v>
      </c>
      <c r="E7" s="4">
        <f t="shared" si="4"/>
        <v>28204</v>
      </c>
      <c r="F7" s="4">
        <f t="shared" si="4"/>
        <v>28250</v>
      </c>
      <c r="G7" s="4">
        <f t="shared" si="4"/>
        <v>28297</v>
      </c>
      <c r="H7" s="4">
        <f t="shared" si="4"/>
        <v>28391</v>
      </c>
      <c r="I7" s="4">
        <f t="shared" si="4"/>
        <v>28917</v>
      </c>
      <c r="J7" s="4">
        <f t="shared" si="4"/>
        <v>28578</v>
      </c>
      <c r="K7" s="4">
        <f t="shared" si="4"/>
        <v>28671</v>
      </c>
      <c r="L7" s="4">
        <f t="shared" si="4"/>
        <v>28765</v>
      </c>
      <c r="M7" s="4">
        <f t="shared" si="4"/>
        <v>28858</v>
      </c>
      <c r="N7" s="4">
        <f t="shared" si="4"/>
        <v>28952</v>
      </c>
      <c r="O7" s="4">
        <f t="shared" si="4"/>
        <v>29045</v>
      </c>
      <c r="P7" s="4">
        <f t="shared" si="4"/>
        <v>29092</v>
      </c>
      <c r="Q7" s="4">
        <f t="shared" si="4"/>
        <v>29139</v>
      </c>
      <c r="R7" s="4">
        <f t="shared" si="4"/>
        <v>29185</v>
      </c>
      <c r="V7" s="4" t="s">
        <v>60</v>
      </c>
      <c r="W7" s="4" t="s">
        <v>61</v>
      </c>
      <c r="X7" s="4">
        <v>9</v>
      </c>
      <c r="Y7" s="4">
        <v>9</v>
      </c>
      <c r="Z7" s="4">
        <v>9</v>
      </c>
      <c r="AA7" s="4">
        <v>9</v>
      </c>
      <c r="AB7" s="4">
        <v>8.5</v>
      </c>
      <c r="AC7" s="4">
        <v>7.5</v>
      </c>
      <c r="AD7" s="4">
        <v>6.5</v>
      </c>
      <c r="AE7" s="4">
        <v>5.5</v>
      </c>
      <c r="AF7" s="4">
        <v>4.5</v>
      </c>
      <c r="AG7" s="4">
        <v>3.5</v>
      </c>
      <c r="AH7" s="4">
        <v>2.5</v>
      </c>
      <c r="AI7" s="4">
        <v>1.5</v>
      </c>
      <c r="AJ7" s="4">
        <v>0.5</v>
      </c>
      <c r="AK7" s="4">
        <v>0</v>
      </c>
      <c r="AL7" s="4">
        <v>0</v>
      </c>
      <c r="AM7" s="4">
        <v>0</v>
      </c>
      <c r="AN7" s="4" t="s">
        <v>60</v>
      </c>
      <c r="AO7" s="4" t="s">
        <v>62</v>
      </c>
      <c r="AP7" s="4">
        <v>3</v>
      </c>
      <c r="AQ7" s="4">
        <v>2.5</v>
      </c>
      <c r="AR7" s="4">
        <v>2</v>
      </c>
      <c r="AS7" s="4">
        <v>1.5</v>
      </c>
      <c r="AT7" s="4">
        <v>1.5</v>
      </c>
      <c r="AU7" s="4">
        <v>1.5</v>
      </c>
      <c r="AV7" s="1534"/>
      <c r="AW7" s="4">
        <v>1.5</v>
      </c>
      <c r="AX7" s="4">
        <v>1.5</v>
      </c>
      <c r="AY7" s="4">
        <v>1.5</v>
      </c>
      <c r="AZ7" s="4">
        <v>1.5</v>
      </c>
      <c r="BA7" s="4">
        <v>1.5</v>
      </c>
      <c r="BB7" s="4">
        <v>1.5</v>
      </c>
      <c r="BC7" s="4">
        <v>1.5</v>
      </c>
      <c r="BD7" s="4">
        <v>1</v>
      </c>
      <c r="BE7" s="4">
        <v>0.5</v>
      </c>
      <c r="BG7" s="4" t="s">
        <v>60</v>
      </c>
      <c r="BH7" s="4" t="s">
        <v>63</v>
      </c>
      <c r="BI7" s="4">
        <f t="shared" ref="BI7:BX7" si="5">9-(X7+X17)</f>
        <v>0</v>
      </c>
      <c r="BJ7" s="4">
        <f t="shared" si="5"/>
        <v>0</v>
      </c>
      <c r="BK7" s="4">
        <f t="shared" si="5"/>
        <v>0</v>
      </c>
      <c r="BL7" s="4">
        <f t="shared" si="5"/>
        <v>0</v>
      </c>
      <c r="BM7" s="4">
        <f t="shared" si="5"/>
        <v>0</v>
      </c>
      <c r="BN7" s="4">
        <f t="shared" si="5"/>
        <v>0</v>
      </c>
      <c r="BO7" s="4">
        <f t="shared" si="5"/>
        <v>0</v>
      </c>
      <c r="BP7" s="4">
        <f t="shared" si="5"/>
        <v>0</v>
      </c>
      <c r="BQ7" s="4">
        <f t="shared" si="5"/>
        <v>0</v>
      </c>
      <c r="BR7" s="4">
        <f t="shared" si="5"/>
        <v>0</v>
      </c>
      <c r="BS7" s="4">
        <f t="shared" si="5"/>
        <v>0</v>
      </c>
      <c r="BT7" s="4">
        <f t="shared" si="5"/>
        <v>0</v>
      </c>
      <c r="BU7" s="4">
        <f t="shared" si="5"/>
        <v>0</v>
      </c>
      <c r="BV7" s="4">
        <f t="shared" si="5"/>
        <v>0</v>
      </c>
      <c r="BW7" s="4">
        <f t="shared" si="5"/>
        <v>0</v>
      </c>
      <c r="BX7" s="4">
        <f t="shared" si="5"/>
        <v>0</v>
      </c>
    </row>
    <row r="8" spans="1:76">
      <c r="A8" s="10" t="s">
        <v>64</v>
      </c>
      <c r="B8" s="4">
        <v>11</v>
      </c>
      <c r="C8" s="4">
        <f t="shared" ref="C8:R8" si="6">ROUND((($U$1*X$8)+($V$1*X$18)+($U$1*AP$8)+($V$1*AP$18)+($W$1*(2-(AP$8+AP$18)))+($W$1*(9-(X$8+X$18))))*$AO$5,0)</f>
        <v>25768</v>
      </c>
      <c r="D8" s="4">
        <f t="shared" si="6"/>
        <v>25768</v>
      </c>
      <c r="E8" s="4">
        <f t="shared" si="6"/>
        <v>25768</v>
      </c>
      <c r="F8" s="4">
        <f t="shared" si="6"/>
        <v>25814</v>
      </c>
      <c r="G8" s="4">
        <f t="shared" si="6"/>
        <v>25861</v>
      </c>
      <c r="H8" s="4">
        <f t="shared" si="6"/>
        <v>25955</v>
      </c>
      <c r="I8" s="4">
        <f t="shared" si="6"/>
        <v>26383</v>
      </c>
      <c r="J8" s="4">
        <f t="shared" si="6"/>
        <v>26142</v>
      </c>
      <c r="K8" s="4">
        <f t="shared" si="6"/>
        <v>26235</v>
      </c>
      <c r="L8" s="4">
        <f t="shared" si="6"/>
        <v>26329</v>
      </c>
      <c r="M8" s="4">
        <f t="shared" si="6"/>
        <v>26422</v>
      </c>
      <c r="N8" s="4">
        <f t="shared" si="6"/>
        <v>26516</v>
      </c>
      <c r="O8" s="4">
        <f t="shared" si="6"/>
        <v>26609</v>
      </c>
      <c r="P8" s="4">
        <f t="shared" si="6"/>
        <v>26656</v>
      </c>
      <c r="Q8" s="4">
        <f t="shared" si="6"/>
        <v>26703</v>
      </c>
      <c r="R8" s="4">
        <f t="shared" si="6"/>
        <v>26749</v>
      </c>
      <c r="V8" s="4" t="s">
        <v>65</v>
      </c>
      <c r="W8" s="4" t="s">
        <v>66</v>
      </c>
      <c r="X8" s="4">
        <v>9</v>
      </c>
      <c r="Y8" s="4">
        <v>9</v>
      </c>
      <c r="Z8" s="4">
        <v>9</v>
      </c>
      <c r="AA8" s="4">
        <v>9</v>
      </c>
      <c r="AB8" s="4">
        <v>8.5</v>
      </c>
      <c r="AC8" s="4">
        <v>7.5</v>
      </c>
      <c r="AD8" s="4">
        <v>6.5</v>
      </c>
      <c r="AE8" s="4">
        <v>5.5</v>
      </c>
      <c r="AF8" s="4">
        <v>4.5</v>
      </c>
      <c r="AG8" s="4">
        <v>3.5</v>
      </c>
      <c r="AH8" s="4">
        <v>2.5</v>
      </c>
      <c r="AI8" s="4">
        <v>1.5</v>
      </c>
      <c r="AJ8" s="4">
        <v>0.5</v>
      </c>
      <c r="AK8" s="4">
        <v>0</v>
      </c>
      <c r="AL8" s="4">
        <v>0</v>
      </c>
      <c r="AM8" s="4">
        <v>0</v>
      </c>
      <c r="AN8" s="4" t="s">
        <v>65</v>
      </c>
      <c r="AO8" s="4" t="s">
        <v>62</v>
      </c>
      <c r="AP8" s="4">
        <v>2</v>
      </c>
      <c r="AQ8" s="4">
        <v>2</v>
      </c>
      <c r="AR8" s="4">
        <v>2</v>
      </c>
      <c r="AS8" s="4">
        <v>1.5</v>
      </c>
      <c r="AT8" s="4">
        <v>1.5</v>
      </c>
      <c r="AU8" s="4">
        <v>1.5</v>
      </c>
      <c r="AV8" s="1534"/>
      <c r="AW8" s="4">
        <v>1.5</v>
      </c>
      <c r="AX8" s="4">
        <v>1.5</v>
      </c>
      <c r="AY8" s="4">
        <v>1.5</v>
      </c>
      <c r="AZ8" s="4">
        <v>1.5</v>
      </c>
      <c r="BA8" s="4">
        <v>1.5</v>
      </c>
      <c r="BB8" s="4">
        <v>1.5</v>
      </c>
      <c r="BC8" s="4">
        <v>1.5</v>
      </c>
      <c r="BD8" s="4">
        <v>1</v>
      </c>
      <c r="BE8" s="4">
        <v>0.5</v>
      </c>
      <c r="BG8" s="4" t="s">
        <v>65</v>
      </c>
      <c r="BH8" s="4" t="s">
        <v>67</v>
      </c>
      <c r="BI8" s="4">
        <v>9</v>
      </c>
      <c r="BJ8" s="4">
        <v>8</v>
      </c>
      <c r="BK8" s="4">
        <v>7</v>
      </c>
      <c r="BL8" s="4">
        <v>6</v>
      </c>
      <c r="BM8" s="4">
        <v>5</v>
      </c>
      <c r="BN8" s="4">
        <v>4.5</v>
      </c>
      <c r="BO8" s="4">
        <v>4.5</v>
      </c>
      <c r="BP8" s="4">
        <v>4.5</v>
      </c>
      <c r="BQ8" s="4">
        <v>4.5</v>
      </c>
      <c r="BR8" s="4">
        <v>4.5</v>
      </c>
      <c r="BS8" s="4">
        <v>4.5</v>
      </c>
      <c r="BT8" s="4">
        <v>4.5</v>
      </c>
      <c r="BU8" s="4">
        <v>4</v>
      </c>
      <c r="BV8" s="4">
        <v>3</v>
      </c>
      <c r="BW8" s="4">
        <v>2</v>
      </c>
      <c r="BX8" s="4">
        <v>1</v>
      </c>
    </row>
    <row r="9" spans="1:76">
      <c r="A9" s="10" t="s">
        <v>68</v>
      </c>
      <c r="B9" s="4">
        <v>10</v>
      </c>
      <c r="C9" s="4">
        <f>ROUND((($U$1*X$9)+($V$1*X$19)+($U$1*AP$9)+($V$1*AP$19)+($W$1*(1-(AP$9+AP$19)))+($W$1*(9-(X$9+X$19))))*$AO$5,0)</f>
        <v>23425</v>
      </c>
      <c r="D9" s="4">
        <f t="shared" ref="D9:R9" si="7">ROUND((($U$1*Y9)+($V$1*Y19)+($U$1*AQ9)+($V$1*AQ19)+($W$1*(1-(AQ9+AQ19)))+($W$1*(9-(Y9+Y19))))*$AO$5,0)</f>
        <v>23425</v>
      </c>
      <c r="E9" s="4">
        <f t="shared" si="7"/>
        <v>23425</v>
      </c>
      <c r="F9" s="4">
        <f t="shared" si="7"/>
        <v>23425</v>
      </c>
      <c r="G9" s="4">
        <f t="shared" si="7"/>
        <v>23472</v>
      </c>
      <c r="H9" s="4">
        <f t="shared" si="7"/>
        <v>23565</v>
      </c>
      <c r="I9" s="4">
        <f t="shared" si="7"/>
        <v>23850</v>
      </c>
      <c r="J9" s="4">
        <f t="shared" si="7"/>
        <v>23752</v>
      </c>
      <c r="K9" s="4">
        <f t="shared" si="7"/>
        <v>23846</v>
      </c>
      <c r="L9" s="4">
        <f t="shared" si="7"/>
        <v>23939</v>
      </c>
      <c r="M9" s="4">
        <f t="shared" si="7"/>
        <v>24033</v>
      </c>
      <c r="N9" s="4">
        <f t="shared" si="7"/>
        <v>24126</v>
      </c>
      <c r="O9" s="4">
        <f t="shared" si="7"/>
        <v>24220</v>
      </c>
      <c r="P9" s="4">
        <f t="shared" si="7"/>
        <v>24267</v>
      </c>
      <c r="Q9" s="4">
        <f t="shared" si="7"/>
        <v>24267</v>
      </c>
      <c r="R9" s="4">
        <f t="shared" si="7"/>
        <v>24313</v>
      </c>
      <c r="V9" s="4" t="s">
        <v>69</v>
      </c>
      <c r="W9" s="4" t="s">
        <v>66</v>
      </c>
      <c r="X9" s="4">
        <v>9</v>
      </c>
      <c r="Y9" s="4">
        <v>9</v>
      </c>
      <c r="Z9" s="4">
        <v>9</v>
      </c>
      <c r="AA9" s="4">
        <v>9</v>
      </c>
      <c r="AB9" s="4">
        <v>8.5</v>
      </c>
      <c r="AC9" s="4">
        <v>7.5</v>
      </c>
      <c r="AD9" s="4">
        <v>6.5</v>
      </c>
      <c r="AE9" s="4">
        <v>5.5</v>
      </c>
      <c r="AF9" s="4">
        <v>4.5</v>
      </c>
      <c r="AG9" s="4">
        <v>3.5</v>
      </c>
      <c r="AH9" s="4">
        <v>2.5</v>
      </c>
      <c r="AI9" s="4">
        <v>1.5</v>
      </c>
      <c r="AJ9" s="4">
        <v>0.5</v>
      </c>
      <c r="AK9" s="4">
        <v>0</v>
      </c>
      <c r="AL9" s="4">
        <v>0</v>
      </c>
      <c r="AM9" s="4">
        <v>0</v>
      </c>
      <c r="AN9" s="4" t="s">
        <v>69</v>
      </c>
      <c r="AO9" s="4" t="s">
        <v>62</v>
      </c>
      <c r="AP9" s="4">
        <v>1</v>
      </c>
      <c r="AQ9" s="4">
        <v>1</v>
      </c>
      <c r="AR9" s="4">
        <v>1</v>
      </c>
      <c r="AS9" s="4">
        <v>1</v>
      </c>
      <c r="AT9" s="4">
        <v>1</v>
      </c>
      <c r="AU9" s="4">
        <v>1</v>
      </c>
      <c r="AV9" s="1534"/>
      <c r="AW9" s="4">
        <v>1</v>
      </c>
      <c r="AX9" s="4">
        <v>1</v>
      </c>
      <c r="AY9" s="4">
        <v>1</v>
      </c>
      <c r="AZ9" s="4">
        <v>1</v>
      </c>
      <c r="BA9" s="4">
        <v>1</v>
      </c>
      <c r="BB9" s="4">
        <v>1</v>
      </c>
      <c r="BC9" s="4">
        <v>1</v>
      </c>
      <c r="BD9" s="4">
        <v>1</v>
      </c>
      <c r="BE9" s="4">
        <v>0.5</v>
      </c>
      <c r="BG9" s="4" t="s">
        <v>69</v>
      </c>
      <c r="BH9" s="4" t="s">
        <v>67</v>
      </c>
      <c r="BI9" s="4">
        <v>9</v>
      </c>
      <c r="BJ9" s="4">
        <v>8</v>
      </c>
      <c r="BK9" s="4">
        <v>7</v>
      </c>
      <c r="BL9" s="4">
        <v>6</v>
      </c>
      <c r="BM9" s="4">
        <v>5</v>
      </c>
      <c r="BN9" s="4">
        <v>4.5</v>
      </c>
      <c r="BO9" s="4">
        <v>4.5</v>
      </c>
      <c r="BP9" s="4">
        <v>4.5</v>
      </c>
      <c r="BQ9" s="4">
        <v>4.5</v>
      </c>
      <c r="BR9" s="4">
        <v>4.5</v>
      </c>
      <c r="BS9" s="4">
        <v>4.5</v>
      </c>
      <c r="BT9" s="4">
        <v>4.5</v>
      </c>
      <c r="BU9" s="4">
        <v>4</v>
      </c>
      <c r="BV9" s="4">
        <v>3</v>
      </c>
      <c r="BW9" s="4">
        <v>2</v>
      </c>
      <c r="BX9" s="4">
        <v>1</v>
      </c>
    </row>
    <row r="10" spans="1:76">
      <c r="A10" s="10" t="s">
        <v>70</v>
      </c>
      <c r="B10" s="4">
        <v>9</v>
      </c>
      <c r="C10" s="4">
        <f>ROUND((($U$1*X$10)+($V$1*X$20)+($U$1*AP$10)+($V$1*AP$20)+($W$1*(0-(AP$10+AP$20)))+($W$1*(9-(X$10+X$20))))*$AO$5,0)</f>
        <v>21083</v>
      </c>
      <c r="D10" s="4">
        <f t="shared" ref="D10:R10" si="8">ROUND((($U$1*Y10)+($V$1*Y20)+($U$1*AQ10)+($V$1*AQ20)+($W$1*(0-(AQ10+AQ20)))+($W$1*(9-(Y10+Y20))))*$AO$5,0)</f>
        <v>21083</v>
      </c>
      <c r="E10" s="4">
        <f t="shared" si="8"/>
        <v>21083</v>
      </c>
      <c r="F10" s="4">
        <f t="shared" si="8"/>
        <v>21083</v>
      </c>
      <c r="G10" s="4">
        <f t="shared" si="8"/>
        <v>21129</v>
      </c>
      <c r="H10" s="4">
        <f t="shared" si="8"/>
        <v>21223</v>
      </c>
      <c r="I10" s="4">
        <f t="shared" si="8"/>
        <v>21316</v>
      </c>
      <c r="J10" s="4">
        <f t="shared" si="8"/>
        <v>21410</v>
      </c>
      <c r="K10" s="4">
        <f t="shared" si="8"/>
        <v>21503</v>
      </c>
      <c r="L10" s="4">
        <f t="shared" si="8"/>
        <v>21597</v>
      </c>
      <c r="M10" s="4">
        <f t="shared" si="8"/>
        <v>21690</v>
      </c>
      <c r="N10" s="4">
        <f t="shared" si="8"/>
        <v>21784</v>
      </c>
      <c r="O10" s="4">
        <f t="shared" si="8"/>
        <v>21877</v>
      </c>
      <c r="P10" s="4">
        <f t="shared" si="8"/>
        <v>21924</v>
      </c>
      <c r="Q10" s="4">
        <f t="shared" si="8"/>
        <v>21924</v>
      </c>
      <c r="R10" s="4">
        <f t="shared" si="8"/>
        <v>21924</v>
      </c>
      <c r="V10" s="4" t="s">
        <v>71</v>
      </c>
      <c r="W10" s="4" t="s">
        <v>66</v>
      </c>
      <c r="X10" s="4">
        <v>9</v>
      </c>
      <c r="Y10" s="4">
        <v>9</v>
      </c>
      <c r="Z10" s="4">
        <v>9</v>
      </c>
      <c r="AA10" s="4">
        <v>9</v>
      </c>
      <c r="AB10" s="4">
        <v>8.5</v>
      </c>
      <c r="AC10" s="4">
        <v>7.5</v>
      </c>
      <c r="AD10" s="4">
        <v>6.5</v>
      </c>
      <c r="AE10" s="4">
        <v>5.5</v>
      </c>
      <c r="AF10" s="4">
        <v>4.5</v>
      </c>
      <c r="AG10" s="4">
        <v>3.5</v>
      </c>
      <c r="AH10" s="4">
        <v>2.5</v>
      </c>
      <c r="AI10" s="4">
        <v>1.5</v>
      </c>
      <c r="AJ10" s="4">
        <v>0.5</v>
      </c>
      <c r="AK10" s="4">
        <v>0</v>
      </c>
      <c r="AL10" s="4">
        <v>0</v>
      </c>
      <c r="AM10" s="4">
        <v>0</v>
      </c>
      <c r="AN10" s="4" t="s">
        <v>71</v>
      </c>
      <c r="AO10" s="4" t="s">
        <v>62</v>
      </c>
      <c r="AP10" s="4">
        <v>0</v>
      </c>
      <c r="AQ10" s="4">
        <v>0</v>
      </c>
      <c r="AR10" s="4">
        <v>0</v>
      </c>
      <c r="AS10" s="4">
        <v>0</v>
      </c>
      <c r="AT10" s="4">
        <v>0</v>
      </c>
      <c r="AU10" s="4">
        <v>0</v>
      </c>
      <c r="AV10" s="1534"/>
      <c r="AW10" s="4">
        <v>0</v>
      </c>
      <c r="AX10" s="4">
        <v>0</v>
      </c>
      <c r="AY10" s="4">
        <v>0</v>
      </c>
      <c r="AZ10" s="4">
        <v>0</v>
      </c>
      <c r="BA10" s="4">
        <v>0</v>
      </c>
      <c r="BB10" s="4">
        <v>0</v>
      </c>
      <c r="BC10" s="4">
        <v>0</v>
      </c>
      <c r="BD10" s="4">
        <v>0</v>
      </c>
      <c r="BE10" s="4">
        <v>0</v>
      </c>
      <c r="BG10" s="4" t="s">
        <v>71</v>
      </c>
      <c r="BH10" s="4" t="s">
        <v>67</v>
      </c>
      <c r="BI10" s="4">
        <v>9</v>
      </c>
      <c r="BJ10" s="4">
        <v>8</v>
      </c>
      <c r="BK10" s="4">
        <v>7</v>
      </c>
      <c r="BL10" s="4">
        <v>6</v>
      </c>
      <c r="BM10" s="4">
        <v>5</v>
      </c>
      <c r="BN10" s="4">
        <v>4.5</v>
      </c>
      <c r="BO10" s="4">
        <v>4.5</v>
      </c>
      <c r="BP10" s="4">
        <v>4.5</v>
      </c>
      <c r="BQ10" s="4">
        <v>4.5</v>
      </c>
      <c r="BR10" s="4">
        <v>4.5</v>
      </c>
      <c r="BS10" s="4">
        <v>4.5</v>
      </c>
      <c r="BT10" s="4">
        <v>4.5</v>
      </c>
      <c r="BU10" s="4">
        <v>4</v>
      </c>
      <c r="BV10" s="4">
        <v>3</v>
      </c>
      <c r="BW10" s="4">
        <v>2</v>
      </c>
      <c r="BX10" s="4">
        <v>1</v>
      </c>
    </row>
    <row r="11" spans="1:76">
      <c r="A11" s="10" t="s">
        <v>72</v>
      </c>
      <c r="B11" s="4">
        <v>3</v>
      </c>
      <c r="C11" s="4">
        <f>ROUND((($U$1*X$11)+($V$1*X$21)+($U$1*AP$11)+($V$1*AP$21)+($W$1*(3-(AP$11+AP$21)))+($W$1*(0-(X$11+X$21))))*$AO$5,0)</f>
        <v>7028</v>
      </c>
      <c r="D11" s="4">
        <f t="shared" ref="D11:R11" si="9">ROUND((($U$1*Y11)+($V$1*Y21)+($U$1*AQ11)+($V$1*AQ21)+($W$1*(3-(AQ11+AQ21)))+($W$1*(0-(Y11+Y21))))*$AO$5,0)</f>
        <v>7074</v>
      </c>
      <c r="E11" s="4">
        <f t="shared" si="9"/>
        <v>7121</v>
      </c>
      <c r="F11" s="4">
        <f t="shared" si="9"/>
        <v>7168</v>
      </c>
      <c r="G11" s="4">
        <f t="shared" si="9"/>
        <v>7168</v>
      </c>
      <c r="H11" s="4">
        <f t="shared" si="9"/>
        <v>7168</v>
      </c>
      <c r="I11" s="4">
        <f t="shared" si="9"/>
        <v>7601</v>
      </c>
      <c r="J11" s="4">
        <f t="shared" si="9"/>
        <v>7168</v>
      </c>
      <c r="K11" s="4">
        <f t="shared" si="9"/>
        <v>7168</v>
      </c>
      <c r="L11" s="4">
        <f t="shared" si="9"/>
        <v>7168</v>
      </c>
      <c r="M11" s="4">
        <f t="shared" si="9"/>
        <v>7168</v>
      </c>
      <c r="N11" s="4">
        <f t="shared" si="9"/>
        <v>7168</v>
      </c>
      <c r="O11" s="4">
        <f t="shared" si="9"/>
        <v>7168</v>
      </c>
      <c r="P11" s="4">
        <f t="shared" si="9"/>
        <v>7168</v>
      </c>
      <c r="Q11" s="4">
        <f t="shared" si="9"/>
        <v>7215</v>
      </c>
      <c r="R11" s="4">
        <f t="shared" si="9"/>
        <v>7261</v>
      </c>
      <c r="V11" s="4" t="s">
        <v>73</v>
      </c>
      <c r="W11" s="4" t="s">
        <v>62</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t="s">
        <v>73</v>
      </c>
      <c r="AO11" s="4" t="s">
        <v>62</v>
      </c>
      <c r="AP11" s="4">
        <v>3</v>
      </c>
      <c r="AQ11" s="4">
        <v>2.5</v>
      </c>
      <c r="AR11" s="4">
        <v>2</v>
      </c>
      <c r="AS11" s="4">
        <v>1.5</v>
      </c>
      <c r="AT11" s="4">
        <v>1.5</v>
      </c>
      <c r="AU11" s="4">
        <v>1.5</v>
      </c>
      <c r="AV11" s="1534"/>
      <c r="AW11" s="4">
        <v>1.5</v>
      </c>
      <c r="AX11" s="4">
        <v>1.5</v>
      </c>
      <c r="AY11" s="4">
        <v>1.5</v>
      </c>
      <c r="AZ11" s="4">
        <v>1.5</v>
      </c>
      <c r="BA11" s="4">
        <v>1.5</v>
      </c>
      <c r="BB11" s="4">
        <v>1.5</v>
      </c>
      <c r="BC11" s="4">
        <v>1.5</v>
      </c>
      <c r="BD11" s="4">
        <v>1</v>
      </c>
      <c r="BE11" s="4">
        <v>0.5</v>
      </c>
      <c r="BG11" s="4" t="s">
        <v>73</v>
      </c>
      <c r="BH11" s="4" t="s">
        <v>74</v>
      </c>
      <c r="BI11" s="4">
        <v>0</v>
      </c>
      <c r="BJ11" s="4">
        <v>0</v>
      </c>
      <c r="BK11" s="4">
        <v>0</v>
      </c>
      <c r="BL11" s="4">
        <v>0</v>
      </c>
      <c r="BM11" s="4">
        <v>0</v>
      </c>
      <c r="BN11" s="4">
        <v>0</v>
      </c>
      <c r="BO11" s="4">
        <v>0</v>
      </c>
      <c r="BP11" s="4">
        <v>0</v>
      </c>
      <c r="BQ11" s="4">
        <v>0</v>
      </c>
      <c r="BR11" s="4">
        <v>0</v>
      </c>
      <c r="BS11" s="4">
        <v>0</v>
      </c>
      <c r="BT11" s="4">
        <v>0</v>
      </c>
      <c r="BU11" s="4">
        <v>0</v>
      </c>
      <c r="BV11" s="4">
        <v>0</v>
      </c>
      <c r="BW11" s="4">
        <v>0</v>
      </c>
      <c r="BX11" s="4">
        <v>0</v>
      </c>
    </row>
    <row r="12" spans="1:76">
      <c r="A12" s="10" t="s">
        <v>75</v>
      </c>
      <c r="B12" s="4">
        <v>2</v>
      </c>
      <c r="C12" s="4">
        <f>ROUND((($U$1*X$12)+($V$1*X$22)+($U$1*AP$12)+($V$1*AP$22)+($W$1*(2-(AP$12+AP$22)))+($W$1*(0-(X$12+X$22))))*$AO$5,0)</f>
        <v>4685</v>
      </c>
      <c r="D12" s="4">
        <f t="shared" ref="D12:R12" si="10">ROUND((($U$1*Y12)+($V$1*Y22)+($U$1*AQ12)+($V$1*AQ22)+($W$1*(2-(AQ12+AQ22)))+($W$1*(0-(Y12+Y22))))*$AO$5,0)</f>
        <v>4685</v>
      </c>
      <c r="E12" s="4">
        <f t="shared" si="10"/>
        <v>4685</v>
      </c>
      <c r="F12" s="4">
        <f t="shared" si="10"/>
        <v>4732</v>
      </c>
      <c r="G12" s="4">
        <f t="shared" si="10"/>
        <v>4732</v>
      </c>
      <c r="H12" s="4">
        <f t="shared" si="10"/>
        <v>4732</v>
      </c>
      <c r="I12" s="4">
        <f t="shared" si="10"/>
        <v>5067</v>
      </c>
      <c r="J12" s="4">
        <f t="shared" si="10"/>
        <v>4732</v>
      </c>
      <c r="K12" s="4">
        <f t="shared" si="10"/>
        <v>4732</v>
      </c>
      <c r="L12" s="4">
        <f t="shared" si="10"/>
        <v>4732</v>
      </c>
      <c r="M12" s="4">
        <f t="shared" si="10"/>
        <v>4732</v>
      </c>
      <c r="N12" s="4">
        <f t="shared" si="10"/>
        <v>4732</v>
      </c>
      <c r="O12" s="4">
        <f t="shared" si="10"/>
        <v>4732</v>
      </c>
      <c r="P12" s="4">
        <f t="shared" si="10"/>
        <v>4732</v>
      </c>
      <c r="Q12" s="4">
        <f t="shared" si="10"/>
        <v>4779</v>
      </c>
      <c r="R12" s="4">
        <f t="shared" si="10"/>
        <v>4825</v>
      </c>
      <c r="V12" s="4" t="s">
        <v>76</v>
      </c>
      <c r="W12" s="4" t="s">
        <v>62</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t="s">
        <v>76</v>
      </c>
      <c r="AO12" s="4" t="s">
        <v>62</v>
      </c>
      <c r="AP12" s="4">
        <v>2</v>
      </c>
      <c r="AQ12" s="4">
        <v>2</v>
      </c>
      <c r="AR12" s="4">
        <v>2</v>
      </c>
      <c r="AS12" s="4">
        <v>1.5</v>
      </c>
      <c r="AT12" s="4">
        <v>1.5</v>
      </c>
      <c r="AU12" s="4">
        <v>1.5</v>
      </c>
      <c r="AV12" s="1534"/>
      <c r="AW12" s="4">
        <v>1.5</v>
      </c>
      <c r="AX12" s="4">
        <v>1.5</v>
      </c>
      <c r="AY12" s="4">
        <v>1.5</v>
      </c>
      <c r="AZ12" s="4">
        <v>1.5</v>
      </c>
      <c r="BA12" s="4">
        <v>1.5</v>
      </c>
      <c r="BB12" s="4">
        <v>1.5</v>
      </c>
      <c r="BC12" s="4">
        <v>1.5</v>
      </c>
      <c r="BD12" s="4">
        <v>1</v>
      </c>
      <c r="BE12" s="4">
        <v>0.5</v>
      </c>
      <c r="BG12" s="4" t="s">
        <v>76</v>
      </c>
      <c r="BH12" s="4" t="s">
        <v>74</v>
      </c>
      <c r="BI12" s="4">
        <v>0</v>
      </c>
      <c r="BJ12" s="4">
        <v>0</v>
      </c>
      <c r="BK12" s="4">
        <v>0</v>
      </c>
      <c r="BL12" s="4">
        <v>0</v>
      </c>
      <c r="BM12" s="4">
        <v>0</v>
      </c>
      <c r="BN12" s="4">
        <v>0</v>
      </c>
      <c r="BO12" s="4">
        <v>0</v>
      </c>
      <c r="BP12" s="4">
        <v>0</v>
      </c>
      <c r="BQ12" s="4">
        <v>0</v>
      </c>
      <c r="BR12" s="4">
        <v>0</v>
      </c>
      <c r="BS12" s="4">
        <v>0</v>
      </c>
      <c r="BT12" s="4">
        <v>0</v>
      </c>
      <c r="BU12" s="4">
        <v>0</v>
      </c>
      <c r="BV12" s="4">
        <v>0</v>
      </c>
      <c r="BW12" s="4">
        <v>0</v>
      </c>
      <c r="BX12" s="4">
        <v>0</v>
      </c>
    </row>
    <row r="13" spans="1:76">
      <c r="A13" s="10" t="s">
        <v>77</v>
      </c>
      <c r="B13" s="4">
        <v>1</v>
      </c>
      <c r="C13" s="4">
        <f>ROUND((($U$1*X$13)+($V$1*X$23)+($U$1*AP$13)+($V$1*AP$23)+($W$1*(1-(AP$13+AP$23)))+($W$1*(0-(X$13+X$23))))*$AO$5,0)</f>
        <v>2343</v>
      </c>
      <c r="D13" s="4">
        <f t="shared" ref="D13:R13" si="11">ROUND((($U$1*Y13)+($V$1*Y23)+($U$1*AQ13)+($V$1*AQ23)+($W$1*(1-(AQ13+AQ23)))+($W$1*(0-(Y13+Y23))))*$AO$5,0)</f>
        <v>2343</v>
      </c>
      <c r="E13" s="4">
        <f t="shared" si="11"/>
        <v>2343</v>
      </c>
      <c r="F13" s="4">
        <f t="shared" si="11"/>
        <v>2343</v>
      </c>
      <c r="G13" s="4">
        <f t="shared" si="11"/>
        <v>2343</v>
      </c>
      <c r="H13" s="4">
        <f t="shared" si="11"/>
        <v>2343</v>
      </c>
      <c r="I13" s="4">
        <f t="shared" si="11"/>
        <v>2534</v>
      </c>
      <c r="J13" s="4">
        <f t="shared" si="11"/>
        <v>2343</v>
      </c>
      <c r="K13" s="4">
        <f t="shared" si="11"/>
        <v>2343</v>
      </c>
      <c r="L13" s="4">
        <f t="shared" si="11"/>
        <v>2343</v>
      </c>
      <c r="M13" s="4">
        <f t="shared" si="11"/>
        <v>2343</v>
      </c>
      <c r="N13" s="4">
        <f t="shared" si="11"/>
        <v>2343</v>
      </c>
      <c r="O13" s="4">
        <f t="shared" si="11"/>
        <v>2343</v>
      </c>
      <c r="P13" s="4">
        <f t="shared" si="11"/>
        <v>2343</v>
      </c>
      <c r="Q13" s="4">
        <f t="shared" si="11"/>
        <v>2343</v>
      </c>
      <c r="R13" s="4">
        <f t="shared" si="11"/>
        <v>2389</v>
      </c>
      <c r="V13" s="4" t="s">
        <v>78</v>
      </c>
      <c r="W13" s="4" t="s">
        <v>62</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t="s">
        <v>78</v>
      </c>
      <c r="AO13" s="4" t="s">
        <v>62</v>
      </c>
      <c r="AP13" s="4">
        <v>1</v>
      </c>
      <c r="AQ13" s="4">
        <v>1</v>
      </c>
      <c r="AR13" s="4">
        <v>1</v>
      </c>
      <c r="AS13" s="4">
        <v>1</v>
      </c>
      <c r="AT13" s="4">
        <v>1</v>
      </c>
      <c r="AU13" s="4">
        <v>1</v>
      </c>
      <c r="AV13" s="1534"/>
      <c r="AW13" s="4">
        <v>1</v>
      </c>
      <c r="AX13" s="4">
        <v>1</v>
      </c>
      <c r="AY13" s="4">
        <v>1</v>
      </c>
      <c r="AZ13" s="4">
        <v>1</v>
      </c>
      <c r="BA13" s="4">
        <v>1</v>
      </c>
      <c r="BB13" s="4">
        <v>1</v>
      </c>
      <c r="BC13" s="4">
        <v>1</v>
      </c>
      <c r="BD13" s="4">
        <v>1</v>
      </c>
      <c r="BE13" s="4">
        <v>0.5</v>
      </c>
      <c r="BG13" s="4" t="s">
        <v>78</v>
      </c>
      <c r="BH13" s="4" t="s">
        <v>74</v>
      </c>
      <c r="BI13" s="4">
        <v>0</v>
      </c>
      <c r="BJ13" s="4">
        <v>0</v>
      </c>
      <c r="BK13" s="4">
        <v>0</v>
      </c>
      <c r="BL13" s="4">
        <v>0</v>
      </c>
      <c r="BM13" s="4">
        <v>0</v>
      </c>
      <c r="BN13" s="4">
        <v>0</v>
      </c>
      <c r="BO13" s="4">
        <v>0</v>
      </c>
      <c r="BP13" s="4">
        <v>0</v>
      </c>
      <c r="BQ13" s="4">
        <v>0</v>
      </c>
      <c r="BR13" s="4">
        <v>0</v>
      </c>
      <c r="BS13" s="4">
        <v>0</v>
      </c>
      <c r="BT13" s="4">
        <v>0</v>
      </c>
      <c r="BU13" s="4">
        <v>0</v>
      </c>
      <c r="BV13" s="4">
        <v>0</v>
      </c>
      <c r="BW13" s="4">
        <v>0</v>
      </c>
      <c r="BX13" s="4">
        <v>0</v>
      </c>
    </row>
    <row r="14" spans="1:76">
      <c r="V14" s="117" t="s">
        <v>53</v>
      </c>
      <c r="W14" s="112">
        <v>0.5</v>
      </c>
      <c r="X14" s="14"/>
      <c r="AN14" s="117" t="s">
        <v>53</v>
      </c>
      <c r="AO14" s="112">
        <f>+W5</f>
        <v>0.5</v>
      </c>
      <c r="AV14" s="1534"/>
    </row>
    <row r="15" spans="1:76" ht="15.75">
      <c r="A15" s="11" t="s">
        <v>270</v>
      </c>
      <c r="B15" s="12"/>
      <c r="C15" s="1"/>
      <c r="D15" s="1"/>
      <c r="E15" s="1"/>
      <c r="F15" s="1"/>
      <c r="G15" s="1"/>
      <c r="H15" s="1"/>
      <c r="I15" s="1"/>
      <c r="J15" s="1"/>
      <c r="K15" s="1"/>
      <c r="L15" s="1"/>
      <c r="M15" s="1"/>
      <c r="N15" s="1"/>
      <c r="O15" s="1"/>
      <c r="P15" s="1"/>
      <c r="Q15" s="1"/>
      <c r="R15" s="1"/>
      <c r="V15" s="115" t="s">
        <v>79</v>
      </c>
      <c r="W15" s="116"/>
      <c r="X15" s="110">
        <f t="shared" ref="X15:AM15" si="12">+C17</f>
        <v>44012</v>
      </c>
      <c r="Y15" s="110">
        <f t="shared" si="12"/>
        <v>44027</v>
      </c>
      <c r="Z15" s="110">
        <f t="shared" si="12"/>
        <v>44043</v>
      </c>
      <c r="AA15" s="110">
        <f t="shared" si="12"/>
        <v>44058</v>
      </c>
      <c r="AB15" s="110">
        <f t="shared" si="12"/>
        <v>44074</v>
      </c>
      <c r="AC15" s="110">
        <f t="shared" si="12"/>
        <v>44104</v>
      </c>
      <c r="AD15" s="110">
        <f t="shared" si="12"/>
        <v>44135</v>
      </c>
      <c r="AE15" s="110">
        <f t="shared" si="12"/>
        <v>44165</v>
      </c>
      <c r="AF15" s="110">
        <f t="shared" si="12"/>
        <v>44196</v>
      </c>
      <c r="AG15" s="110">
        <f t="shared" si="12"/>
        <v>44227</v>
      </c>
      <c r="AH15" s="110">
        <f t="shared" si="12"/>
        <v>44255</v>
      </c>
      <c r="AI15" s="110">
        <f t="shared" si="12"/>
        <v>44286</v>
      </c>
      <c r="AJ15" s="110">
        <f t="shared" si="12"/>
        <v>44316</v>
      </c>
      <c r="AK15" s="110">
        <f t="shared" si="12"/>
        <v>44331</v>
      </c>
      <c r="AL15" s="110">
        <f t="shared" si="12"/>
        <v>44347</v>
      </c>
      <c r="AM15" s="110">
        <f t="shared" si="12"/>
        <v>44362</v>
      </c>
      <c r="AN15" s="115"/>
      <c r="AO15" s="116"/>
      <c r="AP15" s="110">
        <f t="shared" ref="AP15:BE15" si="13">+X15</f>
        <v>44012</v>
      </c>
      <c r="AQ15" s="110">
        <f t="shared" si="13"/>
        <v>44027</v>
      </c>
      <c r="AR15" s="110">
        <f t="shared" si="13"/>
        <v>44043</v>
      </c>
      <c r="AS15" s="110">
        <f t="shared" si="13"/>
        <v>44058</v>
      </c>
      <c r="AT15" s="110">
        <f t="shared" si="13"/>
        <v>44074</v>
      </c>
      <c r="AU15" s="110">
        <f t="shared" si="13"/>
        <v>44104</v>
      </c>
      <c r="AV15" s="1534"/>
      <c r="AW15" s="110">
        <f t="shared" si="13"/>
        <v>44165</v>
      </c>
      <c r="AX15" s="110">
        <f t="shared" si="13"/>
        <v>44196</v>
      </c>
      <c r="AY15" s="110">
        <f t="shared" si="13"/>
        <v>44227</v>
      </c>
      <c r="AZ15" s="110">
        <f t="shared" si="13"/>
        <v>44255</v>
      </c>
      <c r="BA15" s="110">
        <f t="shared" si="13"/>
        <v>44286</v>
      </c>
      <c r="BB15" s="110">
        <f t="shared" si="13"/>
        <v>44316</v>
      </c>
      <c r="BC15" s="110">
        <f t="shared" si="13"/>
        <v>44331</v>
      </c>
      <c r="BD15" s="110">
        <f t="shared" si="13"/>
        <v>44347</v>
      </c>
      <c r="BE15" s="110">
        <f t="shared" si="13"/>
        <v>44362</v>
      </c>
    </row>
    <row r="16" spans="1:76" ht="15.75">
      <c r="A16" s="11"/>
      <c r="B16" s="13" t="s">
        <v>54</v>
      </c>
      <c r="C16" s="1"/>
      <c r="D16" s="1"/>
      <c r="E16" s="1"/>
      <c r="F16" s="1"/>
      <c r="G16" s="1"/>
      <c r="H16" s="1"/>
      <c r="I16" s="1"/>
      <c r="J16" s="1"/>
      <c r="K16" s="1"/>
      <c r="L16" s="1"/>
      <c r="M16" s="1"/>
      <c r="N16" s="1"/>
      <c r="O16" s="1"/>
      <c r="P16" s="1"/>
      <c r="Q16" s="1"/>
      <c r="R16" s="1"/>
      <c r="X16" s="20"/>
      <c r="Y16" s="20"/>
      <c r="Z16" s="20"/>
      <c r="AA16" s="20"/>
      <c r="AB16" s="20"/>
      <c r="AC16" s="20"/>
      <c r="AD16" s="20"/>
      <c r="AE16" s="20"/>
      <c r="AF16" s="20"/>
      <c r="AG16" s="20"/>
      <c r="AH16" s="20"/>
      <c r="AI16" s="20"/>
      <c r="AJ16" s="20"/>
      <c r="AK16" s="20"/>
      <c r="AL16" s="20"/>
      <c r="AM16" s="20"/>
      <c r="AN16" s="20"/>
      <c r="AP16" s="20"/>
      <c r="AQ16" s="20"/>
      <c r="AR16" s="20"/>
      <c r="AS16" s="20"/>
      <c r="AT16" s="20"/>
      <c r="AU16" s="20"/>
      <c r="AV16" s="1534"/>
      <c r="AW16" s="20"/>
      <c r="AX16" s="20"/>
      <c r="AY16" s="20"/>
      <c r="AZ16" s="20"/>
      <c r="BA16" s="20"/>
      <c r="BB16" s="20"/>
      <c r="BC16" s="20"/>
      <c r="BD16" s="20"/>
      <c r="BE16" s="20"/>
    </row>
    <row r="17" spans="1:57">
      <c r="A17" s="16"/>
      <c r="B17" s="17" t="s">
        <v>58</v>
      </c>
      <c r="C17" s="18">
        <f t="shared" ref="C17:R17" si="14">+C6</f>
        <v>44012</v>
      </c>
      <c r="D17" s="18">
        <f t="shared" si="14"/>
        <v>44027</v>
      </c>
      <c r="E17" s="18">
        <f t="shared" si="14"/>
        <v>44043</v>
      </c>
      <c r="F17" s="18">
        <f t="shared" si="14"/>
        <v>44058</v>
      </c>
      <c r="G17" s="18">
        <f t="shared" si="14"/>
        <v>44074</v>
      </c>
      <c r="H17" s="18">
        <f t="shared" si="14"/>
        <v>44104</v>
      </c>
      <c r="I17" s="18">
        <f t="shared" si="14"/>
        <v>44135</v>
      </c>
      <c r="J17" s="18">
        <f t="shared" si="14"/>
        <v>44165</v>
      </c>
      <c r="K17" s="18">
        <f t="shared" si="14"/>
        <v>44196</v>
      </c>
      <c r="L17" s="18">
        <f t="shared" si="14"/>
        <v>44227</v>
      </c>
      <c r="M17" s="18">
        <f t="shared" si="14"/>
        <v>44255</v>
      </c>
      <c r="N17" s="18">
        <f t="shared" si="14"/>
        <v>44286</v>
      </c>
      <c r="O17" s="18">
        <f t="shared" si="14"/>
        <v>44316</v>
      </c>
      <c r="P17" s="18">
        <f t="shared" si="14"/>
        <v>44331</v>
      </c>
      <c r="Q17" s="18">
        <f t="shared" si="14"/>
        <v>44347</v>
      </c>
      <c r="R17" s="18">
        <f t="shared" si="14"/>
        <v>44362</v>
      </c>
      <c r="V17" s="4" t="s">
        <v>60</v>
      </c>
      <c r="W17" s="4" t="s">
        <v>63</v>
      </c>
      <c r="X17" s="4">
        <v>0</v>
      </c>
      <c r="Y17" s="4">
        <v>0</v>
      </c>
      <c r="Z17" s="4">
        <v>0</v>
      </c>
      <c r="AA17" s="4">
        <v>0</v>
      </c>
      <c r="AB17" s="4">
        <v>0.5</v>
      </c>
      <c r="AC17" s="4">
        <v>1.5</v>
      </c>
      <c r="AD17" s="4">
        <v>2.5</v>
      </c>
      <c r="AE17" s="4">
        <v>3.5</v>
      </c>
      <c r="AF17" s="4">
        <v>4.5</v>
      </c>
      <c r="AG17" s="4">
        <v>5.5</v>
      </c>
      <c r="AH17" s="4">
        <v>6.5</v>
      </c>
      <c r="AI17" s="4">
        <v>7.5</v>
      </c>
      <c r="AJ17" s="4">
        <v>8.5</v>
      </c>
      <c r="AK17" s="4">
        <v>9</v>
      </c>
      <c r="AL17" s="4">
        <v>9</v>
      </c>
      <c r="AM17" s="4">
        <v>9</v>
      </c>
      <c r="AN17" s="4" t="s">
        <v>60</v>
      </c>
      <c r="AO17" s="4" t="s">
        <v>74</v>
      </c>
      <c r="AP17" s="4">
        <f t="shared" ref="AP17:BE17" si="15">3-AP7</f>
        <v>0</v>
      </c>
      <c r="AQ17" s="4">
        <f t="shared" si="15"/>
        <v>0.5</v>
      </c>
      <c r="AR17" s="4">
        <f t="shared" si="15"/>
        <v>1</v>
      </c>
      <c r="AS17" s="4">
        <f t="shared" si="15"/>
        <v>1.5</v>
      </c>
      <c r="AT17" s="4">
        <f t="shared" si="15"/>
        <v>1.5</v>
      </c>
      <c r="AU17" s="4">
        <f t="shared" si="15"/>
        <v>1.5</v>
      </c>
      <c r="AV17" s="1534"/>
      <c r="AW17" s="4">
        <f t="shared" si="15"/>
        <v>1.5</v>
      </c>
      <c r="AX17" s="4">
        <f t="shared" si="15"/>
        <v>1.5</v>
      </c>
      <c r="AY17" s="4">
        <f t="shared" si="15"/>
        <v>1.5</v>
      </c>
      <c r="AZ17" s="4">
        <f t="shared" si="15"/>
        <v>1.5</v>
      </c>
      <c r="BA17" s="4">
        <f t="shared" si="15"/>
        <v>1.5</v>
      </c>
      <c r="BB17" s="4">
        <f t="shared" si="15"/>
        <v>1.5</v>
      </c>
      <c r="BC17" s="4">
        <f t="shared" si="15"/>
        <v>1.5</v>
      </c>
      <c r="BD17" s="4">
        <f t="shared" si="15"/>
        <v>2</v>
      </c>
      <c r="BE17" s="4">
        <f t="shared" si="15"/>
        <v>2.5</v>
      </c>
    </row>
    <row r="18" spans="1:57">
      <c r="A18" s="10" t="s">
        <v>59</v>
      </c>
      <c r="B18" s="4">
        <v>12</v>
      </c>
      <c r="C18" s="4">
        <f t="shared" ref="C18:R18" si="16">ROUND((($U$2*X$7)+($V$2*X$17)+($U$2*AP$7)+($V$2*AP$17)+($W$2*(3-(AP$7+AP$17)))+($W$2*(9-(X$7+X$17))))*$AO$5,0)</f>
        <v>25194</v>
      </c>
      <c r="D18" s="4">
        <f t="shared" si="16"/>
        <v>25236</v>
      </c>
      <c r="E18" s="4">
        <f t="shared" si="16"/>
        <v>25278</v>
      </c>
      <c r="F18" s="4">
        <f t="shared" si="16"/>
        <v>25320</v>
      </c>
      <c r="G18" s="4">
        <f t="shared" si="16"/>
        <v>25362</v>
      </c>
      <c r="H18" s="4">
        <f t="shared" si="16"/>
        <v>25446</v>
      </c>
      <c r="I18" s="4">
        <f t="shared" si="16"/>
        <v>25919</v>
      </c>
      <c r="J18" s="4">
        <f t="shared" si="16"/>
        <v>25614</v>
      </c>
      <c r="K18" s="4">
        <f t="shared" si="16"/>
        <v>25698</v>
      </c>
      <c r="L18" s="4">
        <f t="shared" si="16"/>
        <v>25782</v>
      </c>
      <c r="M18" s="4">
        <f t="shared" si="16"/>
        <v>25866</v>
      </c>
      <c r="N18" s="4">
        <f t="shared" si="16"/>
        <v>25950</v>
      </c>
      <c r="O18" s="4">
        <f t="shared" si="16"/>
        <v>26034</v>
      </c>
      <c r="P18" s="4">
        <f t="shared" si="16"/>
        <v>26076</v>
      </c>
      <c r="Q18" s="4">
        <f t="shared" si="16"/>
        <v>26118</v>
      </c>
      <c r="R18" s="4">
        <f t="shared" si="16"/>
        <v>26160</v>
      </c>
      <c r="V18" s="4" t="s">
        <v>65</v>
      </c>
      <c r="W18" s="4" t="s">
        <v>67</v>
      </c>
      <c r="X18" s="4">
        <v>0</v>
      </c>
      <c r="Y18" s="4">
        <v>0</v>
      </c>
      <c r="Z18" s="4">
        <v>0</v>
      </c>
      <c r="AA18" s="4">
        <v>0</v>
      </c>
      <c r="AB18" s="4">
        <v>0.5</v>
      </c>
      <c r="AC18" s="4">
        <v>1.5</v>
      </c>
      <c r="AD18" s="4">
        <v>2.5</v>
      </c>
      <c r="AE18" s="4">
        <v>3.5</v>
      </c>
      <c r="AF18" s="4">
        <v>4.5</v>
      </c>
      <c r="AG18" s="4">
        <v>5.5</v>
      </c>
      <c r="AH18" s="4">
        <v>6.5</v>
      </c>
      <c r="AI18" s="4">
        <v>7.5</v>
      </c>
      <c r="AJ18" s="4">
        <v>8.5</v>
      </c>
      <c r="AK18" s="4">
        <v>9</v>
      </c>
      <c r="AL18" s="4">
        <v>9</v>
      </c>
      <c r="AM18" s="4">
        <v>9</v>
      </c>
      <c r="AN18" s="4" t="s">
        <v>65</v>
      </c>
      <c r="AO18" s="4" t="s">
        <v>74</v>
      </c>
      <c r="AP18" s="4">
        <f t="shared" ref="AP18:BE18" si="17">2-AP8</f>
        <v>0</v>
      </c>
      <c r="AQ18" s="4">
        <f t="shared" si="17"/>
        <v>0</v>
      </c>
      <c r="AR18" s="4">
        <f t="shared" si="17"/>
        <v>0</v>
      </c>
      <c r="AS18" s="4">
        <f t="shared" si="17"/>
        <v>0.5</v>
      </c>
      <c r="AT18" s="4">
        <f t="shared" si="17"/>
        <v>0.5</v>
      </c>
      <c r="AU18" s="4">
        <f t="shared" si="17"/>
        <v>0.5</v>
      </c>
      <c r="AV18" s="1534"/>
      <c r="AW18" s="4">
        <f t="shared" si="17"/>
        <v>0.5</v>
      </c>
      <c r="AX18" s="4">
        <f t="shared" si="17"/>
        <v>0.5</v>
      </c>
      <c r="AY18" s="4">
        <f t="shared" si="17"/>
        <v>0.5</v>
      </c>
      <c r="AZ18" s="4">
        <f t="shared" si="17"/>
        <v>0.5</v>
      </c>
      <c r="BA18" s="4">
        <f t="shared" si="17"/>
        <v>0.5</v>
      </c>
      <c r="BB18" s="4">
        <f t="shared" si="17"/>
        <v>0.5</v>
      </c>
      <c r="BC18" s="4">
        <f t="shared" si="17"/>
        <v>0.5</v>
      </c>
      <c r="BD18" s="4">
        <f t="shared" si="17"/>
        <v>1</v>
      </c>
      <c r="BE18" s="4">
        <f t="shared" si="17"/>
        <v>1.5</v>
      </c>
    </row>
    <row r="19" spans="1:57">
      <c r="A19" s="10" t="s">
        <v>64</v>
      </c>
      <c r="B19" s="4">
        <v>11</v>
      </c>
      <c r="C19" s="4">
        <f t="shared" ref="C19:R19" si="18">ROUND((($U$2*X$8)+($V$2*X$18)+($U$2*AP$8)+($V$2*AP$18)+($W$2*(2-(AP$8+AP$18)))+($W$2*(9-(X$8+X$18))))*$AO$5,0)</f>
        <v>23095</v>
      </c>
      <c r="D19" s="4">
        <f t="shared" si="18"/>
        <v>23095</v>
      </c>
      <c r="E19" s="4">
        <f t="shared" si="18"/>
        <v>23095</v>
      </c>
      <c r="F19" s="4">
        <f t="shared" si="18"/>
        <v>23137</v>
      </c>
      <c r="G19" s="4">
        <f t="shared" si="18"/>
        <v>23179</v>
      </c>
      <c r="H19" s="4">
        <f t="shared" si="18"/>
        <v>23263</v>
      </c>
      <c r="I19" s="4">
        <f t="shared" si="18"/>
        <v>23648</v>
      </c>
      <c r="J19" s="4">
        <f t="shared" si="18"/>
        <v>23431</v>
      </c>
      <c r="K19" s="4">
        <f t="shared" si="18"/>
        <v>23515</v>
      </c>
      <c r="L19" s="4">
        <f t="shared" si="18"/>
        <v>23599</v>
      </c>
      <c r="M19" s="4">
        <f t="shared" si="18"/>
        <v>23683</v>
      </c>
      <c r="N19" s="4">
        <f t="shared" si="18"/>
        <v>23767</v>
      </c>
      <c r="O19" s="4">
        <f t="shared" si="18"/>
        <v>23851</v>
      </c>
      <c r="P19" s="4">
        <f t="shared" si="18"/>
        <v>23893</v>
      </c>
      <c r="Q19" s="4">
        <f t="shared" si="18"/>
        <v>23935</v>
      </c>
      <c r="R19" s="4">
        <f t="shared" si="18"/>
        <v>23977</v>
      </c>
      <c r="V19" s="4" t="s">
        <v>69</v>
      </c>
      <c r="W19" s="4" t="s">
        <v>67</v>
      </c>
      <c r="X19" s="4">
        <v>0</v>
      </c>
      <c r="Y19" s="4">
        <v>0</v>
      </c>
      <c r="Z19" s="4">
        <v>0</v>
      </c>
      <c r="AA19" s="4">
        <v>0</v>
      </c>
      <c r="AB19" s="4">
        <v>0.5</v>
      </c>
      <c r="AC19" s="4">
        <v>1.5</v>
      </c>
      <c r="AD19" s="4">
        <v>2.5</v>
      </c>
      <c r="AE19" s="4">
        <v>3.5</v>
      </c>
      <c r="AF19" s="4">
        <v>4.5</v>
      </c>
      <c r="AG19" s="4">
        <v>5.5</v>
      </c>
      <c r="AH19" s="4">
        <v>6.5</v>
      </c>
      <c r="AI19" s="4">
        <v>7.5</v>
      </c>
      <c r="AJ19" s="4">
        <v>8.5</v>
      </c>
      <c r="AK19" s="4">
        <v>9</v>
      </c>
      <c r="AL19" s="4">
        <v>9</v>
      </c>
      <c r="AM19" s="4">
        <v>9</v>
      </c>
      <c r="AN19" s="4" t="s">
        <v>69</v>
      </c>
      <c r="AO19" s="4" t="s">
        <v>74</v>
      </c>
      <c r="AP19" s="4">
        <f t="shared" ref="AP19:BE19" si="19">1-AP9</f>
        <v>0</v>
      </c>
      <c r="AQ19" s="4">
        <f t="shared" si="19"/>
        <v>0</v>
      </c>
      <c r="AR19" s="4">
        <f t="shared" si="19"/>
        <v>0</v>
      </c>
      <c r="AS19" s="4">
        <f t="shared" si="19"/>
        <v>0</v>
      </c>
      <c r="AT19" s="4">
        <f t="shared" si="19"/>
        <v>0</v>
      </c>
      <c r="AU19" s="4">
        <f t="shared" si="19"/>
        <v>0</v>
      </c>
      <c r="AV19" s="1534"/>
      <c r="AW19" s="4">
        <f t="shared" si="19"/>
        <v>0</v>
      </c>
      <c r="AX19" s="4">
        <f t="shared" si="19"/>
        <v>0</v>
      </c>
      <c r="AY19" s="4">
        <f t="shared" si="19"/>
        <v>0</v>
      </c>
      <c r="AZ19" s="4">
        <f t="shared" si="19"/>
        <v>0</v>
      </c>
      <c r="BA19" s="4">
        <f t="shared" si="19"/>
        <v>0</v>
      </c>
      <c r="BB19" s="4">
        <f t="shared" si="19"/>
        <v>0</v>
      </c>
      <c r="BC19" s="4">
        <f t="shared" si="19"/>
        <v>0</v>
      </c>
      <c r="BD19" s="4">
        <f t="shared" si="19"/>
        <v>0</v>
      </c>
      <c r="BE19" s="4">
        <f t="shared" si="19"/>
        <v>0.5</v>
      </c>
    </row>
    <row r="20" spans="1:57">
      <c r="A20" s="10" t="s">
        <v>68</v>
      </c>
      <c r="B20" s="4">
        <v>10</v>
      </c>
      <c r="C20" s="4">
        <f t="shared" ref="C20:R20" si="20">ROUND((($U$2*X$9)+($V$2*X$19)+($U$2*AP$9)+($V$2*AP$19)+($W$2*(1-(AP$9+AP$19)))+($W$2*(9-(X$9+X$19))))*$AO$5,0)</f>
        <v>20995</v>
      </c>
      <c r="D20" s="4">
        <f t="shared" si="20"/>
        <v>20995</v>
      </c>
      <c r="E20" s="4">
        <f t="shared" si="20"/>
        <v>20995</v>
      </c>
      <c r="F20" s="4">
        <f t="shared" si="20"/>
        <v>20995</v>
      </c>
      <c r="G20" s="4">
        <f t="shared" si="20"/>
        <v>21037</v>
      </c>
      <c r="H20" s="4">
        <f t="shared" si="20"/>
        <v>21121</v>
      </c>
      <c r="I20" s="4">
        <f t="shared" si="20"/>
        <v>21377</v>
      </c>
      <c r="J20" s="4">
        <f t="shared" si="20"/>
        <v>21289</v>
      </c>
      <c r="K20" s="4">
        <f t="shared" si="20"/>
        <v>21373</v>
      </c>
      <c r="L20" s="4">
        <f t="shared" si="20"/>
        <v>21457</v>
      </c>
      <c r="M20" s="4">
        <f t="shared" si="20"/>
        <v>21541</v>
      </c>
      <c r="N20" s="4">
        <f t="shared" si="20"/>
        <v>21625</v>
      </c>
      <c r="O20" s="4">
        <f t="shared" si="20"/>
        <v>21709</v>
      </c>
      <c r="P20" s="4">
        <f t="shared" si="20"/>
        <v>21751</v>
      </c>
      <c r="Q20" s="4">
        <f t="shared" si="20"/>
        <v>21751</v>
      </c>
      <c r="R20" s="4">
        <f t="shared" si="20"/>
        <v>21793</v>
      </c>
      <c r="V20" s="4" t="s">
        <v>71</v>
      </c>
      <c r="W20" s="4" t="s">
        <v>67</v>
      </c>
      <c r="X20" s="4">
        <v>0</v>
      </c>
      <c r="Y20" s="4">
        <v>0</v>
      </c>
      <c r="Z20" s="4">
        <v>0</v>
      </c>
      <c r="AA20" s="4">
        <v>0</v>
      </c>
      <c r="AB20" s="4">
        <v>0.5</v>
      </c>
      <c r="AC20" s="4">
        <v>1.5</v>
      </c>
      <c r="AD20" s="4">
        <v>2.5</v>
      </c>
      <c r="AE20" s="4">
        <v>3.5</v>
      </c>
      <c r="AF20" s="4">
        <v>4.5</v>
      </c>
      <c r="AG20" s="4">
        <v>5.5</v>
      </c>
      <c r="AH20" s="4">
        <v>6.5</v>
      </c>
      <c r="AI20" s="4">
        <v>7.5</v>
      </c>
      <c r="AJ20" s="4">
        <v>8.5</v>
      </c>
      <c r="AK20" s="4">
        <v>9</v>
      </c>
      <c r="AL20" s="4">
        <v>9</v>
      </c>
      <c r="AM20" s="4">
        <v>9</v>
      </c>
      <c r="AN20" s="4" t="s">
        <v>71</v>
      </c>
      <c r="AO20" s="4" t="s">
        <v>74</v>
      </c>
      <c r="AP20" s="4">
        <v>0</v>
      </c>
      <c r="AQ20" s="4">
        <v>0</v>
      </c>
      <c r="AR20" s="4">
        <v>0</v>
      </c>
      <c r="AS20" s="4">
        <v>0</v>
      </c>
      <c r="AT20" s="4">
        <v>0</v>
      </c>
      <c r="AU20" s="4">
        <v>0</v>
      </c>
      <c r="AV20" s="1534"/>
      <c r="AW20" s="4">
        <v>0</v>
      </c>
      <c r="AX20" s="4">
        <v>0</v>
      </c>
      <c r="AY20" s="4">
        <v>0</v>
      </c>
      <c r="AZ20" s="4">
        <v>0</v>
      </c>
      <c r="BA20" s="4">
        <v>0</v>
      </c>
      <c r="BB20" s="4">
        <v>0</v>
      </c>
      <c r="BC20" s="4">
        <v>0</v>
      </c>
      <c r="BD20" s="4">
        <v>0</v>
      </c>
      <c r="BE20" s="4">
        <v>0</v>
      </c>
    </row>
    <row r="21" spans="1:57">
      <c r="A21" s="10" t="s">
        <v>70</v>
      </c>
      <c r="B21" s="4">
        <v>9</v>
      </c>
      <c r="C21" s="4">
        <f t="shared" ref="C21:R21" si="21">ROUND((($U$2*X$10)+($V$2*X$20)+($U$2*AP$10)+($V$2*AP$20)+($W$2*(0-(AP$10+AP$20)))+($W$2*(9-(X$10+X$20))))*$AO$5,0)</f>
        <v>18896</v>
      </c>
      <c r="D21" s="4">
        <f t="shared" si="21"/>
        <v>18896</v>
      </c>
      <c r="E21" s="4">
        <f t="shared" si="21"/>
        <v>18896</v>
      </c>
      <c r="F21" s="4">
        <f t="shared" si="21"/>
        <v>18896</v>
      </c>
      <c r="G21" s="4">
        <f t="shared" si="21"/>
        <v>18938</v>
      </c>
      <c r="H21" s="4">
        <f t="shared" si="21"/>
        <v>19022</v>
      </c>
      <c r="I21" s="4">
        <f t="shared" si="21"/>
        <v>19106</v>
      </c>
      <c r="J21" s="4">
        <f t="shared" si="21"/>
        <v>19190</v>
      </c>
      <c r="K21" s="4">
        <f t="shared" si="21"/>
        <v>19274</v>
      </c>
      <c r="L21" s="4">
        <f t="shared" si="21"/>
        <v>19358</v>
      </c>
      <c r="M21" s="4">
        <f t="shared" si="21"/>
        <v>19442</v>
      </c>
      <c r="N21" s="4">
        <f t="shared" si="21"/>
        <v>19526</v>
      </c>
      <c r="O21" s="4">
        <f t="shared" si="21"/>
        <v>19610</v>
      </c>
      <c r="P21" s="4">
        <f t="shared" si="21"/>
        <v>19652</v>
      </c>
      <c r="Q21" s="4">
        <f t="shared" si="21"/>
        <v>19652</v>
      </c>
      <c r="R21" s="4">
        <f t="shared" si="21"/>
        <v>19652</v>
      </c>
      <c r="V21" s="4" t="s">
        <v>73</v>
      </c>
      <c r="W21" s="4" t="s">
        <v>74</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t="s">
        <v>73</v>
      </c>
      <c r="AO21" s="4" t="s">
        <v>74</v>
      </c>
      <c r="AP21" s="4">
        <f t="shared" ref="AP21:BE21" si="22">3-AP11</f>
        <v>0</v>
      </c>
      <c r="AQ21" s="4">
        <f t="shared" si="22"/>
        <v>0.5</v>
      </c>
      <c r="AR21" s="4">
        <f t="shared" si="22"/>
        <v>1</v>
      </c>
      <c r="AS21" s="4">
        <f t="shared" si="22"/>
        <v>1.5</v>
      </c>
      <c r="AT21" s="4">
        <f t="shared" si="22"/>
        <v>1.5</v>
      </c>
      <c r="AU21" s="4">
        <f t="shared" si="22"/>
        <v>1.5</v>
      </c>
      <c r="AV21" s="1534"/>
      <c r="AW21" s="4">
        <f t="shared" si="22"/>
        <v>1.5</v>
      </c>
      <c r="AX21" s="4">
        <f t="shared" si="22"/>
        <v>1.5</v>
      </c>
      <c r="AY21" s="4">
        <f t="shared" si="22"/>
        <v>1.5</v>
      </c>
      <c r="AZ21" s="4">
        <f t="shared" si="22"/>
        <v>1.5</v>
      </c>
      <c r="BA21" s="4">
        <f t="shared" si="22"/>
        <v>1.5</v>
      </c>
      <c r="BB21" s="4">
        <f t="shared" si="22"/>
        <v>1.5</v>
      </c>
      <c r="BC21" s="4">
        <f t="shared" si="22"/>
        <v>1.5</v>
      </c>
      <c r="BD21" s="4">
        <f t="shared" si="22"/>
        <v>2</v>
      </c>
      <c r="BE21" s="4">
        <f t="shared" si="22"/>
        <v>2.5</v>
      </c>
    </row>
    <row r="22" spans="1:57">
      <c r="A22" s="10" t="s">
        <v>72</v>
      </c>
      <c r="B22" s="4">
        <v>3</v>
      </c>
      <c r="C22" s="4">
        <f t="shared" ref="C22:R22" si="23">ROUND((($U$2*X$11)+($V$2*X$21)+($U$2*AP$11)+($V$2*AP$21)+($W$2*(3-(AP$11+AP$21)))+($W$2*(0-(X$11+X$21))))*$AO$5,0)</f>
        <v>6299</v>
      </c>
      <c r="D22" s="4">
        <f t="shared" si="23"/>
        <v>6341</v>
      </c>
      <c r="E22" s="4">
        <f t="shared" si="23"/>
        <v>6383</v>
      </c>
      <c r="F22" s="4">
        <f t="shared" si="23"/>
        <v>6425</v>
      </c>
      <c r="G22" s="4">
        <f t="shared" si="23"/>
        <v>6425</v>
      </c>
      <c r="H22" s="4">
        <f t="shared" si="23"/>
        <v>6425</v>
      </c>
      <c r="I22" s="4">
        <f t="shared" si="23"/>
        <v>6813</v>
      </c>
      <c r="J22" s="4">
        <f t="shared" si="23"/>
        <v>6425</v>
      </c>
      <c r="K22" s="4">
        <f t="shared" si="23"/>
        <v>6425</v>
      </c>
      <c r="L22" s="4">
        <f t="shared" si="23"/>
        <v>6425</v>
      </c>
      <c r="M22" s="4">
        <f t="shared" si="23"/>
        <v>6425</v>
      </c>
      <c r="N22" s="4">
        <f t="shared" si="23"/>
        <v>6425</v>
      </c>
      <c r="O22" s="4">
        <f t="shared" si="23"/>
        <v>6425</v>
      </c>
      <c r="P22" s="4">
        <f t="shared" si="23"/>
        <v>6425</v>
      </c>
      <c r="Q22" s="4">
        <f t="shared" si="23"/>
        <v>6467</v>
      </c>
      <c r="R22" s="4">
        <f t="shared" si="23"/>
        <v>6509</v>
      </c>
      <c r="V22" s="4" t="s">
        <v>76</v>
      </c>
      <c r="W22" s="4" t="s">
        <v>74</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t="s">
        <v>76</v>
      </c>
      <c r="AO22" s="4" t="s">
        <v>74</v>
      </c>
      <c r="AP22" s="4">
        <f t="shared" ref="AP22:BE22" si="24">2-AP12</f>
        <v>0</v>
      </c>
      <c r="AQ22" s="4">
        <f t="shared" si="24"/>
        <v>0</v>
      </c>
      <c r="AR22" s="4">
        <f t="shared" si="24"/>
        <v>0</v>
      </c>
      <c r="AS22" s="4">
        <f t="shared" si="24"/>
        <v>0.5</v>
      </c>
      <c r="AT22" s="4">
        <f t="shared" si="24"/>
        <v>0.5</v>
      </c>
      <c r="AU22" s="4">
        <f t="shared" si="24"/>
        <v>0.5</v>
      </c>
      <c r="AV22" s="1534"/>
      <c r="AW22" s="4">
        <f t="shared" si="24"/>
        <v>0.5</v>
      </c>
      <c r="AX22" s="4">
        <f t="shared" si="24"/>
        <v>0.5</v>
      </c>
      <c r="AY22" s="4">
        <f t="shared" si="24"/>
        <v>0.5</v>
      </c>
      <c r="AZ22" s="4">
        <f t="shared" si="24"/>
        <v>0.5</v>
      </c>
      <c r="BA22" s="4">
        <f t="shared" si="24"/>
        <v>0.5</v>
      </c>
      <c r="BB22" s="4">
        <f t="shared" si="24"/>
        <v>0.5</v>
      </c>
      <c r="BC22" s="4">
        <f t="shared" si="24"/>
        <v>0.5</v>
      </c>
      <c r="BD22" s="4">
        <f t="shared" si="24"/>
        <v>1</v>
      </c>
      <c r="BE22" s="4">
        <f t="shared" si="24"/>
        <v>1.5</v>
      </c>
    </row>
    <row r="23" spans="1:57">
      <c r="A23" s="10" t="s">
        <v>75</v>
      </c>
      <c r="B23" s="4">
        <v>2</v>
      </c>
      <c r="C23" s="4">
        <f t="shared" ref="C23:R23" si="25">ROUND((($U$2*X$12)+($V$2*X$22)+($U$2*AP$12)+($V$2*AP$22)+($W$2*(2-(AP$12+AP$22)))+($W$2*(0-(X$12+X$22))))*$AO$5,0)</f>
        <v>4199</v>
      </c>
      <c r="D23" s="4">
        <f t="shared" si="25"/>
        <v>4199</v>
      </c>
      <c r="E23" s="4">
        <f t="shared" si="25"/>
        <v>4199</v>
      </c>
      <c r="F23" s="4">
        <f t="shared" si="25"/>
        <v>4241</v>
      </c>
      <c r="G23" s="4">
        <f t="shared" si="25"/>
        <v>4241</v>
      </c>
      <c r="H23" s="4">
        <f t="shared" si="25"/>
        <v>4241</v>
      </c>
      <c r="I23" s="4">
        <f t="shared" si="25"/>
        <v>4542</v>
      </c>
      <c r="J23" s="4">
        <f t="shared" si="25"/>
        <v>4241</v>
      </c>
      <c r="K23" s="4">
        <f t="shared" si="25"/>
        <v>4241</v>
      </c>
      <c r="L23" s="4">
        <f t="shared" si="25"/>
        <v>4241</v>
      </c>
      <c r="M23" s="4">
        <f t="shared" si="25"/>
        <v>4241</v>
      </c>
      <c r="N23" s="4">
        <f t="shared" si="25"/>
        <v>4241</v>
      </c>
      <c r="O23" s="4">
        <f t="shared" si="25"/>
        <v>4241</v>
      </c>
      <c r="P23" s="4">
        <f t="shared" si="25"/>
        <v>4241</v>
      </c>
      <c r="Q23" s="4">
        <f t="shared" si="25"/>
        <v>4283</v>
      </c>
      <c r="R23" s="4">
        <f t="shared" si="25"/>
        <v>4325</v>
      </c>
      <c r="V23" s="4" t="s">
        <v>78</v>
      </c>
      <c r="W23" s="4" t="s">
        <v>74</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t="s">
        <v>78</v>
      </c>
      <c r="AO23" s="4" t="s">
        <v>74</v>
      </c>
      <c r="AP23" s="4">
        <f t="shared" ref="AP23:BE23" si="26">1-AP13</f>
        <v>0</v>
      </c>
      <c r="AQ23" s="4">
        <f t="shared" si="26"/>
        <v>0</v>
      </c>
      <c r="AR23" s="4">
        <f t="shared" si="26"/>
        <v>0</v>
      </c>
      <c r="AS23" s="4">
        <f t="shared" si="26"/>
        <v>0</v>
      </c>
      <c r="AT23" s="4">
        <f t="shared" si="26"/>
        <v>0</v>
      </c>
      <c r="AU23" s="4">
        <f t="shared" si="26"/>
        <v>0</v>
      </c>
      <c r="AV23" s="1534"/>
      <c r="AW23" s="4">
        <f t="shared" si="26"/>
        <v>0</v>
      </c>
      <c r="AX23" s="4">
        <f t="shared" si="26"/>
        <v>0</v>
      </c>
      <c r="AY23" s="4">
        <f t="shared" si="26"/>
        <v>0</v>
      </c>
      <c r="AZ23" s="4">
        <f t="shared" si="26"/>
        <v>0</v>
      </c>
      <c r="BA23" s="4">
        <f t="shared" si="26"/>
        <v>0</v>
      </c>
      <c r="BB23" s="4">
        <f t="shared" si="26"/>
        <v>0</v>
      </c>
      <c r="BC23" s="4">
        <f t="shared" si="26"/>
        <v>0</v>
      </c>
      <c r="BD23" s="4">
        <f t="shared" si="26"/>
        <v>0</v>
      </c>
      <c r="BE23" s="4">
        <f t="shared" si="26"/>
        <v>0.5</v>
      </c>
    </row>
    <row r="24" spans="1:57">
      <c r="A24" s="10" t="s">
        <v>77</v>
      </c>
      <c r="B24" s="4">
        <v>1</v>
      </c>
      <c r="C24" s="4">
        <f t="shared" ref="C24:R24" si="27">ROUND((($U$2*X$13)+($V$2*X$23)+($U$2*AP$13)+($V$2*AP$23)+($W$2*(1-(AP$13+AP$23)))+($W$2*(0-(X$13+X$23))))*$AO$5,0)</f>
        <v>2100</v>
      </c>
      <c r="D24" s="4">
        <f t="shared" si="27"/>
        <v>2100</v>
      </c>
      <c r="E24" s="4">
        <f t="shared" si="27"/>
        <v>2100</v>
      </c>
      <c r="F24" s="4">
        <f t="shared" si="27"/>
        <v>2100</v>
      </c>
      <c r="G24" s="4">
        <f t="shared" si="27"/>
        <v>2100</v>
      </c>
      <c r="H24" s="4">
        <f t="shared" si="27"/>
        <v>2100</v>
      </c>
      <c r="I24" s="4">
        <f t="shared" si="27"/>
        <v>2271</v>
      </c>
      <c r="J24" s="4">
        <f t="shared" si="27"/>
        <v>2100</v>
      </c>
      <c r="K24" s="4">
        <f t="shared" si="27"/>
        <v>2100</v>
      </c>
      <c r="L24" s="4">
        <f t="shared" si="27"/>
        <v>2100</v>
      </c>
      <c r="M24" s="4">
        <f t="shared" si="27"/>
        <v>2100</v>
      </c>
      <c r="N24" s="4">
        <f t="shared" si="27"/>
        <v>2100</v>
      </c>
      <c r="O24" s="4">
        <f t="shared" si="27"/>
        <v>2100</v>
      </c>
      <c r="P24" s="4">
        <f t="shared" si="27"/>
        <v>2100</v>
      </c>
      <c r="Q24" s="4">
        <f t="shared" si="27"/>
        <v>2100</v>
      </c>
      <c r="R24" s="4">
        <f t="shared" si="27"/>
        <v>2142</v>
      </c>
      <c r="AV24" s="1534"/>
    </row>
    <row r="26" spans="1:57" ht="18.75" thickBot="1">
      <c r="A26" s="6" t="s">
        <v>80</v>
      </c>
      <c r="B26" s="7"/>
      <c r="C26" s="7"/>
      <c r="D26" s="7"/>
      <c r="E26" s="7"/>
      <c r="F26" s="7"/>
      <c r="G26" s="7"/>
      <c r="H26" s="7"/>
      <c r="I26" s="7"/>
      <c r="J26" s="7"/>
      <c r="K26" s="7"/>
      <c r="L26" s="7"/>
      <c r="M26" s="7"/>
      <c r="N26" s="7"/>
      <c r="O26" s="7"/>
      <c r="P26" s="7"/>
      <c r="Q26" s="7"/>
      <c r="R26" s="7"/>
      <c r="U26" s="5"/>
      <c r="W26" s="4" t="s">
        <v>601</v>
      </c>
      <c r="X26" s="819" t="s">
        <v>81</v>
      </c>
      <c r="Y26" s="115"/>
      <c r="Z26" s="820"/>
      <c r="AB26" s="819" t="s">
        <v>82</v>
      </c>
      <c r="AC26" s="115"/>
      <c r="AD26" s="820"/>
      <c r="AF26" s="821" t="s">
        <v>83</v>
      </c>
      <c r="AG26" s="822"/>
      <c r="AH26" s="820"/>
      <c r="AV26" s="1534"/>
    </row>
    <row r="27" spans="1:57" ht="18.75">
      <c r="A27" s="21" t="s">
        <v>84</v>
      </c>
      <c r="B27" s="22">
        <f>'GRA 26-60 Matrices'!B99</f>
        <v>0.04</v>
      </c>
      <c r="C27" s="4" t="s">
        <v>85</v>
      </c>
      <c r="E27" s="109">
        <f>'GRA 26-60 Matrices'!E99</f>
        <v>0</v>
      </c>
      <c r="W27" s="4" t="s">
        <v>597</v>
      </c>
      <c r="X27" s="23">
        <f>'GRA 26-60 Matrices'!X88</f>
        <v>12297</v>
      </c>
      <c r="Y27" s="24">
        <f>'GRA 26-60 Matrices'!Y88</f>
        <v>12789</v>
      </c>
      <c r="Z27" s="25">
        <f>'GRA 26-60 Matrices'!Z88</f>
        <v>13301</v>
      </c>
      <c r="AB27" s="23">
        <f>'GRA 26-60 Matrices'!AB88</f>
        <v>27842</v>
      </c>
      <c r="AC27" s="24">
        <f>'GRA 26-60 Matrices'!AC88</f>
        <v>28956</v>
      </c>
      <c r="AD27" s="25">
        <f>'GRA 26-60 Matrices'!AD88</f>
        <v>30114</v>
      </c>
      <c r="AF27" s="26">
        <f>'GRA 26-60 Matrices'!AF88</f>
        <v>2524</v>
      </c>
      <c r="AG27" s="16">
        <f>'GRA 26-60 Matrices'!AG88</f>
        <v>2625</v>
      </c>
      <c r="AH27" s="25">
        <f>'GRA 26-60 Matrices'!AH88</f>
        <v>2730</v>
      </c>
      <c r="AV27" s="1534"/>
    </row>
    <row r="28" spans="1:57">
      <c r="W28" s="4" t="s">
        <v>596</v>
      </c>
      <c r="X28" s="27">
        <f>'GRA 26-60 Matrices'!X89</f>
        <v>1799.55</v>
      </c>
      <c r="Y28" s="817">
        <f>'GRA 26-60 Matrices'!Y89</f>
        <v>1871.5319999999999</v>
      </c>
      <c r="Z28" s="28">
        <v>0</v>
      </c>
      <c r="AB28" s="27">
        <f>'GRA 26-60 Matrices'!AB89</f>
        <v>1799.55</v>
      </c>
      <c r="AC28" s="817">
        <f>'GRA 26-60 Matrices'!AC89</f>
        <v>1871.5319999999999</v>
      </c>
      <c r="AD28" s="28">
        <v>0</v>
      </c>
      <c r="AF28" s="29"/>
      <c r="AG28" s="30"/>
      <c r="AH28" s="28"/>
      <c r="AV28" s="1534"/>
    </row>
    <row r="29" spans="1:57" ht="15.75">
      <c r="A29" s="11" t="s">
        <v>86</v>
      </c>
      <c r="AV29" s="1534"/>
    </row>
    <row r="30" spans="1:57">
      <c r="B30" s="13" t="s">
        <v>54</v>
      </c>
      <c r="AV30" s="1534"/>
    </row>
    <row r="31" spans="1:57">
      <c r="A31" s="16"/>
      <c r="B31" s="17" t="s">
        <v>58</v>
      </c>
      <c r="C31" s="18">
        <f t="shared" ref="C31:R31" si="28">+C17</f>
        <v>44012</v>
      </c>
      <c r="D31" s="18">
        <f t="shared" si="28"/>
        <v>44027</v>
      </c>
      <c r="E31" s="18">
        <f t="shared" si="28"/>
        <v>44043</v>
      </c>
      <c r="F31" s="18">
        <f t="shared" si="28"/>
        <v>44058</v>
      </c>
      <c r="G31" s="18">
        <f t="shared" si="28"/>
        <v>44074</v>
      </c>
      <c r="H31" s="18">
        <f t="shared" si="28"/>
        <v>44104</v>
      </c>
      <c r="I31" s="18">
        <f t="shared" si="28"/>
        <v>44135</v>
      </c>
      <c r="J31" s="18">
        <f t="shared" si="28"/>
        <v>44165</v>
      </c>
      <c r="K31" s="18">
        <f t="shared" si="28"/>
        <v>44196</v>
      </c>
      <c r="L31" s="18">
        <f t="shared" si="28"/>
        <v>44227</v>
      </c>
      <c r="M31" s="18">
        <f t="shared" si="28"/>
        <v>44255</v>
      </c>
      <c r="N31" s="18">
        <f t="shared" si="28"/>
        <v>44286</v>
      </c>
      <c r="O31" s="18">
        <f t="shared" si="28"/>
        <v>44316</v>
      </c>
      <c r="P31" s="18">
        <f t="shared" si="28"/>
        <v>44331</v>
      </c>
      <c r="Q31" s="18">
        <f t="shared" si="28"/>
        <v>44347</v>
      </c>
      <c r="R31" s="18">
        <f t="shared" si="28"/>
        <v>44362</v>
      </c>
      <c r="V31" s="117"/>
      <c r="W31" s="112"/>
      <c r="X31" s="15"/>
      <c r="Y31" s="19"/>
      <c r="Z31" s="19"/>
      <c r="AA31" s="19"/>
      <c r="AB31" s="19"/>
      <c r="AC31" s="19"/>
      <c r="AD31" s="19"/>
      <c r="AE31" s="19"/>
      <c r="AF31" s="19"/>
      <c r="AG31" s="19"/>
      <c r="AH31" s="19"/>
      <c r="AI31" s="19"/>
      <c r="AJ31" s="19"/>
      <c r="AK31" s="19"/>
      <c r="AL31" s="19"/>
      <c r="AM31" s="19"/>
      <c r="AO31" s="14"/>
      <c r="AP31" s="14"/>
      <c r="AV31" s="1534"/>
    </row>
    <row r="32" spans="1:57">
      <c r="V32" s="115"/>
      <c r="W32" s="116"/>
      <c r="X32" s="19">
        <f t="shared" ref="X32:AM32" si="29">+C31</f>
        <v>44012</v>
      </c>
      <c r="Y32" s="19">
        <f t="shared" si="29"/>
        <v>44027</v>
      </c>
      <c r="Z32" s="19">
        <f t="shared" si="29"/>
        <v>44043</v>
      </c>
      <c r="AA32" s="19">
        <f t="shared" si="29"/>
        <v>44058</v>
      </c>
      <c r="AB32" s="19">
        <f t="shared" si="29"/>
        <v>44074</v>
      </c>
      <c r="AC32" s="19">
        <f t="shared" si="29"/>
        <v>44104</v>
      </c>
      <c r="AD32" s="19">
        <f t="shared" si="29"/>
        <v>44135</v>
      </c>
      <c r="AE32" s="19">
        <f t="shared" si="29"/>
        <v>44165</v>
      </c>
      <c r="AF32" s="19">
        <f t="shared" si="29"/>
        <v>44196</v>
      </c>
      <c r="AG32" s="19">
        <f t="shared" si="29"/>
        <v>44227</v>
      </c>
      <c r="AH32" s="19">
        <f t="shared" si="29"/>
        <v>44255</v>
      </c>
      <c r="AI32" s="19">
        <f t="shared" si="29"/>
        <v>44286</v>
      </c>
      <c r="AJ32" s="19">
        <f t="shared" si="29"/>
        <v>44316</v>
      </c>
      <c r="AK32" s="19">
        <f t="shared" si="29"/>
        <v>44331</v>
      </c>
      <c r="AL32" s="19">
        <f t="shared" si="29"/>
        <v>44347</v>
      </c>
      <c r="AM32" s="19">
        <f t="shared" si="29"/>
        <v>44362</v>
      </c>
      <c r="AN32" s="110"/>
      <c r="AO32" s="115"/>
      <c r="AP32" s="110">
        <f t="shared" ref="AP32:BE32" si="30">+X32</f>
        <v>44012</v>
      </c>
      <c r="AQ32" s="110">
        <f t="shared" si="30"/>
        <v>44027</v>
      </c>
      <c r="AR32" s="110">
        <f t="shared" si="30"/>
        <v>44043</v>
      </c>
      <c r="AS32" s="110">
        <f t="shared" si="30"/>
        <v>44058</v>
      </c>
      <c r="AT32" s="110">
        <f t="shared" si="30"/>
        <v>44074</v>
      </c>
      <c r="AU32" s="110">
        <f t="shared" si="30"/>
        <v>44104</v>
      </c>
      <c r="AV32" s="1534"/>
      <c r="AW32" s="110">
        <f t="shared" si="30"/>
        <v>44165</v>
      </c>
      <c r="AX32" s="110">
        <f t="shared" si="30"/>
        <v>44196</v>
      </c>
      <c r="AY32" s="110">
        <f t="shared" si="30"/>
        <v>44227</v>
      </c>
      <c r="AZ32" s="110">
        <f t="shared" si="30"/>
        <v>44255</v>
      </c>
      <c r="BA32" s="110">
        <f t="shared" si="30"/>
        <v>44286</v>
      </c>
      <c r="BB32" s="110">
        <f t="shared" si="30"/>
        <v>44316</v>
      </c>
      <c r="BC32" s="110">
        <f t="shared" si="30"/>
        <v>44331</v>
      </c>
      <c r="BD32" s="110">
        <f t="shared" si="30"/>
        <v>44347</v>
      </c>
      <c r="BE32" s="110">
        <f t="shared" si="30"/>
        <v>44362</v>
      </c>
    </row>
    <row r="33" spans="1:57">
      <c r="A33" s="10" t="s">
        <v>87</v>
      </c>
      <c r="B33" s="4">
        <v>12</v>
      </c>
      <c r="C33" s="4">
        <f t="shared" ref="C33:E34" si="31">ROUND((($X$27*(X33/9))+($Y$27*(X41/9))+($Z$27*(X49/9))+($X$28*AP33)+($X$28*AP41)*1),0)</f>
        <v>14097</v>
      </c>
      <c r="D33" s="4">
        <f t="shared" si="31"/>
        <v>14097</v>
      </c>
      <c r="E33" s="4">
        <f t="shared" si="31"/>
        <v>14097</v>
      </c>
      <c r="F33" s="4">
        <f t="shared" ref="F33:R37" si="32">ROUND((($X$27*(AA33/9))+($Y$27*(AA41/9))+($Z$27*(AA49/9))+($X$28*AS33)+($Y$28*AS41)*1),0)</f>
        <v>14169</v>
      </c>
      <c r="G33" s="4">
        <f t="shared" si="32"/>
        <v>14196</v>
      </c>
      <c r="H33" s="4">
        <f t="shared" si="32"/>
        <v>14251</v>
      </c>
      <c r="I33" s="4">
        <f t="shared" si="32"/>
        <v>12434</v>
      </c>
      <c r="J33" s="4">
        <f t="shared" si="32"/>
        <v>14360</v>
      </c>
      <c r="K33" s="4">
        <f t="shared" si="32"/>
        <v>14415</v>
      </c>
      <c r="L33" s="4">
        <f t="shared" si="32"/>
        <v>14469</v>
      </c>
      <c r="M33" s="4">
        <f t="shared" si="32"/>
        <v>14524</v>
      </c>
      <c r="N33" s="4">
        <f t="shared" si="32"/>
        <v>14579</v>
      </c>
      <c r="O33" s="4">
        <f t="shared" si="32"/>
        <v>14633</v>
      </c>
      <c r="P33" s="4">
        <f t="shared" si="32"/>
        <v>14661</v>
      </c>
      <c r="Q33" s="4">
        <f t="shared" si="32"/>
        <v>14661</v>
      </c>
      <c r="R33" s="4">
        <f t="shared" si="32"/>
        <v>14661</v>
      </c>
      <c r="V33" s="4" t="s">
        <v>60</v>
      </c>
      <c r="W33" s="4" t="s">
        <v>61</v>
      </c>
      <c r="X33" s="4">
        <v>9</v>
      </c>
      <c r="Y33" s="4">
        <v>9</v>
      </c>
      <c r="Z33" s="4">
        <v>9</v>
      </c>
      <c r="AA33" s="4">
        <v>9</v>
      </c>
      <c r="AB33" s="4">
        <v>8.5</v>
      </c>
      <c r="AC33" s="4">
        <v>7.5</v>
      </c>
      <c r="AD33" s="4">
        <v>6.5</v>
      </c>
      <c r="AE33" s="4">
        <v>5.5</v>
      </c>
      <c r="AF33" s="4">
        <v>4.5</v>
      </c>
      <c r="AG33" s="4">
        <v>3.5</v>
      </c>
      <c r="AH33" s="4">
        <v>2.5</v>
      </c>
      <c r="AI33" s="4">
        <v>1.5</v>
      </c>
      <c r="AJ33" s="4">
        <v>0.5</v>
      </c>
      <c r="AK33" s="4">
        <v>0</v>
      </c>
      <c r="AL33" s="4">
        <v>0</v>
      </c>
      <c r="AM33" s="4">
        <v>0</v>
      </c>
      <c r="AN33" s="4" t="s">
        <v>60</v>
      </c>
      <c r="AO33" s="4" t="s">
        <v>62</v>
      </c>
      <c r="AP33" s="4">
        <v>0</v>
      </c>
      <c r="AQ33" s="4">
        <v>0</v>
      </c>
      <c r="AR33" s="4">
        <v>0</v>
      </c>
      <c r="AS33" s="4">
        <v>0</v>
      </c>
      <c r="AT33" s="4">
        <v>0</v>
      </c>
      <c r="AU33" s="4">
        <v>0</v>
      </c>
      <c r="AV33" s="1534"/>
      <c r="AW33" s="4">
        <v>0</v>
      </c>
      <c r="AX33" s="4">
        <v>0</v>
      </c>
      <c r="AY33" s="4">
        <v>0</v>
      </c>
      <c r="AZ33" s="4">
        <v>0</v>
      </c>
      <c r="BA33" s="4">
        <v>0</v>
      </c>
      <c r="BB33" s="4">
        <v>0</v>
      </c>
      <c r="BC33" s="4">
        <v>0</v>
      </c>
      <c r="BD33" s="4">
        <v>0</v>
      </c>
      <c r="BE33" s="4">
        <v>0</v>
      </c>
    </row>
    <row r="34" spans="1:57">
      <c r="A34" s="10" t="s">
        <v>87</v>
      </c>
      <c r="B34" s="4">
        <v>11</v>
      </c>
      <c r="C34" s="4">
        <f t="shared" si="31"/>
        <v>14097</v>
      </c>
      <c r="D34" s="4">
        <f t="shared" si="31"/>
        <v>14097</v>
      </c>
      <c r="E34" s="4">
        <f t="shared" si="31"/>
        <v>14097</v>
      </c>
      <c r="F34" s="4">
        <f t="shared" si="32"/>
        <v>14169</v>
      </c>
      <c r="G34" s="4">
        <f t="shared" si="32"/>
        <v>14196</v>
      </c>
      <c r="H34" s="4">
        <f t="shared" si="32"/>
        <v>14251</v>
      </c>
      <c r="I34" s="4">
        <f t="shared" si="32"/>
        <v>12434</v>
      </c>
      <c r="J34" s="4">
        <f t="shared" si="32"/>
        <v>14360</v>
      </c>
      <c r="K34" s="4">
        <f t="shared" si="32"/>
        <v>14415</v>
      </c>
      <c r="L34" s="4">
        <f t="shared" si="32"/>
        <v>14469</v>
      </c>
      <c r="M34" s="4">
        <f t="shared" si="32"/>
        <v>14524</v>
      </c>
      <c r="N34" s="4">
        <f t="shared" si="32"/>
        <v>14579</v>
      </c>
      <c r="O34" s="4">
        <f t="shared" si="32"/>
        <v>14633</v>
      </c>
      <c r="P34" s="4">
        <f t="shared" si="32"/>
        <v>14661</v>
      </c>
      <c r="Q34" s="4">
        <f t="shared" si="32"/>
        <v>14661</v>
      </c>
      <c r="R34" s="4">
        <f t="shared" si="32"/>
        <v>14661</v>
      </c>
      <c r="V34" s="4" t="s">
        <v>65</v>
      </c>
      <c r="W34" s="4" t="s">
        <v>66</v>
      </c>
      <c r="X34" s="4">
        <v>9</v>
      </c>
      <c r="Y34" s="4">
        <v>9</v>
      </c>
      <c r="Z34" s="4">
        <v>9</v>
      </c>
      <c r="AA34" s="4">
        <v>9</v>
      </c>
      <c r="AB34" s="4">
        <v>8.5</v>
      </c>
      <c r="AC34" s="4">
        <v>7.5</v>
      </c>
      <c r="AD34" s="4">
        <v>6.5</v>
      </c>
      <c r="AE34" s="4">
        <v>5.5</v>
      </c>
      <c r="AF34" s="4">
        <v>4.5</v>
      </c>
      <c r="AG34" s="4">
        <v>3.5</v>
      </c>
      <c r="AH34" s="4">
        <v>2.5</v>
      </c>
      <c r="AI34" s="4">
        <v>1.5</v>
      </c>
      <c r="AJ34" s="4">
        <v>0.5</v>
      </c>
      <c r="AK34" s="4">
        <v>0</v>
      </c>
      <c r="AL34" s="4">
        <v>0</v>
      </c>
      <c r="AM34" s="4">
        <v>0</v>
      </c>
      <c r="AN34" s="4" t="s">
        <v>65</v>
      </c>
      <c r="AO34" s="4" t="s">
        <v>62</v>
      </c>
      <c r="AP34" s="4">
        <v>0</v>
      </c>
      <c r="AQ34" s="4">
        <v>0</v>
      </c>
      <c r="AR34" s="4">
        <v>0</v>
      </c>
      <c r="AS34" s="4">
        <v>0</v>
      </c>
      <c r="AT34" s="4">
        <v>0</v>
      </c>
      <c r="AU34" s="4">
        <v>0</v>
      </c>
      <c r="AV34" s="1534"/>
      <c r="AW34" s="4">
        <v>0</v>
      </c>
      <c r="AX34" s="4">
        <v>0</v>
      </c>
      <c r="AY34" s="4">
        <v>0</v>
      </c>
      <c r="AZ34" s="4">
        <v>0</v>
      </c>
      <c r="BA34" s="4">
        <v>0</v>
      </c>
      <c r="BB34" s="4">
        <v>0</v>
      </c>
      <c r="BC34" s="4">
        <v>0</v>
      </c>
      <c r="BD34" s="4">
        <v>0</v>
      </c>
      <c r="BE34" s="4">
        <v>0</v>
      </c>
    </row>
    <row r="35" spans="1:57">
      <c r="A35" s="10" t="s">
        <v>88</v>
      </c>
      <c r="B35" s="4">
        <v>10</v>
      </c>
      <c r="C35" s="4">
        <f t="shared" ref="C35:E37" si="33">ROUND((($X$27*(X35/9))+($Y$27*(X43/9))+($Z$27*(X51/9))+($X$28*AP35)+($Y$28*AP43)*1),0)</f>
        <v>12297</v>
      </c>
      <c r="D35" s="4">
        <f t="shared" si="33"/>
        <v>12297</v>
      </c>
      <c r="E35" s="4">
        <f t="shared" si="33"/>
        <v>12297</v>
      </c>
      <c r="F35" s="4">
        <f t="shared" si="32"/>
        <v>12297</v>
      </c>
      <c r="G35" s="4">
        <f t="shared" si="32"/>
        <v>12324</v>
      </c>
      <c r="H35" s="4">
        <f t="shared" si="32"/>
        <v>12379</v>
      </c>
      <c r="I35" s="4">
        <f t="shared" si="32"/>
        <v>12434</v>
      </c>
      <c r="J35" s="4">
        <f t="shared" si="32"/>
        <v>12488</v>
      </c>
      <c r="K35" s="4">
        <f t="shared" si="32"/>
        <v>12543</v>
      </c>
      <c r="L35" s="4">
        <f t="shared" si="32"/>
        <v>12598</v>
      </c>
      <c r="M35" s="4">
        <f t="shared" si="32"/>
        <v>12652</v>
      </c>
      <c r="N35" s="4">
        <f t="shared" si="32"/>
        <v>12707</v>
      </c>
      <c r="O35" s="4">
        <f t="shared" si="32"/>
        <v>12762</v>
      </c>
      <c r="P35" s="4">
        <f t="shared" si="32"/>
        <v>12789</v>
      </c>
      <c r="Q35" s="4">
        <f t="shared" si="32"/>
        <v>12789</v>
      </c>
      <c r="R35" s="4">
        <f t="shared" si="32"/>
        <v>12789</v>
      </c>
      <c r="V35" s="4" t="s">
        <v>69</v>
      </c>
      <c r="W35" s="4" t="s">
        <v>66</v>
      </c>
      <c r="X35" s="4">
        <v>9</v>
      </c>
      <c r="Y35" s="4">
        <v>9</v>
      </c>
      <c r="Z35" s="4">
        <v>9</v>
      </c>
      <c r="AA35" s="4">
        <v>9</v>
      </c>
      <c r="AB35" s="4">
        <v>8.5</v>
      </c>
      <c r="AC35" s="4">
        <v>7.5</v>
      </c>
      <c r="AD35" s="4">
        <v>6.5</v>
      </c>
      <c r="AE35" s="4">
        <v>5.5</v>
      </c>
      <c r="AF35" s="4">
        <v>4.5</v>
      </c>
      <c r="AG35" s="4">
        <v>3.5</v>
      </c>
      <c r="AH35" s="4">
        <v>2.5</v>
      </c>
      <c r="AI35" s="4">
        <v>1.5</v>
      </c>
      <c r="AJ35" s="4">
        <v>0.5</v>
      </c>
      <c r="AK35" s="4">
        <v>0</v>
      </c>
      <c r="AL35" s="4">
        <v>0</v>
      </c>
      <c r="AM35" s="4">
        <v>0</v>
      </c>
      <c r="AN35" s="4" t="s">
        <v>69</v>
      </c>
      <c r="AO35" s="4" t="s">
        <v>62</v>
      </c>
      <c r="AP35" s="4">
        <v>0</v>
      </c>
      <c r="AQ35" s="4">
        <v>0</v>
      </c>
      <c r="AR35" s="4">
        <v>0</v>
      </c>
      <c r="AS35" s="4">
        <v>0</v>
      </c>
      <c r="AT35" s="4">
        <v>0</v>
      </c>
      <c r="AU35" s="4">
        <v>0</v>
      </c>
      <c r="AV35" s="1534"/>
      <c r="AW35" s="4">
        <v>0</v>
      </c>
      <c r="AX35" s="4">
        <v>0</v>
      </c>
      <c r="AY35" s="4">
        <v>0</v>
      </c>
      <c r="AZ35" s="4">
        <v>0</v>
      </c>
      <c r="BA35" s="4">
        <v>0</v>
      </c>
      <c r="BB35" s="4">
        <v>0</v>
      </c>
      <c r="BC35" s="4">
        <v>0</v>
      </c>
      <c r="BD35" s="4">
        <v>0</v>
      </c>
      <c r="BE35" s="4">
        <v>0</v>
      </c>
    </row>
    <row r="36" spans="1:57">
      <c r="A36" s="10" t="s">
        <v>88</v>
      </c>
      <c r="B36" s="4">
        <v>9</v>
      </c>
      <c r="C36" s="4">
        <f t="shared" si="33"/>
        <v>12297</v>
      </c>
      <c r="D36" s="4">
        <f t="shared" si="33"/>
        <v>12297</v>
      </c>
      <c r="E36" s="4">
        <f t="shared" si="33"/>
        <v>12297</v>
      </c>
      <c r="F36" s="4">
        <f t="shared" si="32"/>
        <v>12297</v>
      </c>
      <c r="G36" s="4">
        <f t="shared" si="32"/>
        <v>12324</v>
      </c>
      <c r="H36" s="4">
        <f t="shared" si="32"/>
        <v>12379</v>
      </c>
      <c r="I36" s="4">
        <f t="shared" si="32"/>
        <v>12434</v>
      </c>
      <c r="J36" s="4">
        <f t="shared" si="32"/>
        <v>12488</v>
      </c>
      <c r="K36" s="4">
        <f t="shared" si="32"/>
        <v>12543</v>
      </c>
      <c r="L36" s="4">
        <f t="shared" si="32"/>
        <v>12598</v>
      </c>
      <c r="M36" s="4">
        <f t="shared" si="32"/>
        <v>12652</v>
      </c>
      <c r="N36" s="4">
        <f t="shared" si="32"/>
        <v>12707</v>
      </c>
      <c r="O36" s="4">
        <f t="shared" si="32"/>
        <v>12762</v>
      </c>
      <c r="P36" s="4">
        <f t="shared" si="32"/>
        <v>12789</v>
      </c>
      <c r="Q36" s="4">
        <f t="shared" si="32"/>
        <v>12789</v>
      </c>
      <c r="R36" s="4">
        <f t="shared" si="32"/>
        <v>12789</v>
      </c>
      <c r="V36" s="4" t="s">
        <v>71</v>
      </c>
      <c r="W36" s="4" t="s">
        <v>66</v>
      </c>
      <c r="X36" s="4">
        <v>9</v>
      </c>
      <c r="Y36" s="4">
        <v>9</v>
      </c>
      <c r="Z36" s="4">
        <v>9</v>
      </c>
      <c r="AA36" s="4">
        <v>9</v>
      </c>
      <c r="AB36" s="4">
        <v>8.5</v>
      </c>
      <c r="AC36" s="4">
        <v>7.5</v>
      </c>
      <c r="AD36" s="4">
        <v>6.5</v>
      </c>
      <c r="AE36" s="4">
        <v>5.5</v>
      </c>
      <c r="AF36" s="4">
        <v>4.5</v>
      </c>
      <c r="AG36" s="4">
        <v>3.5</v>
      </c>
      <c r="AH36" s="4">
        <v>2.5</v>
      </c>
      <c r="AI36" s="4">
        <v>1.5</v>
      </c>
      <c r="AJ36" s="4">
        <v>0.5</v>
      </c>
      <c r="AK36" s="4">
        <v>0</v>
      </c>
      <c r="AL36" s="4">
        <v>0</v>
      </c>
      <c r="AM36" s="4">
        <v>0</v>
      </c>
      <c r="AN36" s="4" t="s">
        <v>71</v>
      </c>
      <c r="AO36" s="4" t="s">
        <v>62</v>
      </c>
      <c r="AP36" s="4">
        <v>0</v>
      </c>
      <c r="AQ36" s="4">
        <v>0</v>
      </c>
      <c r="AR36" s="4">
        <v>0</v>
      </c>
      <c r="AS36" s="4">
        <v>0</v>
      </c>
      <c r="AT36" s="4">
        <v>0</v>
      </c>
      <c r="AU36" s="4">
        <v>0</v>
      </c>
      <c r="AV36" s="1534"/>
      <c r="AW36" s="4">
        <v>0</v>
      </c>
      <c r="AX36" s="4">
        <v>0</v>
      </c>
      <c r="AY36" s="4">
        <v>0</v>
      </c>
      <c r="AZ36" s="4">
        <v>0</v>
      </c>
      <c r="BA36" s="4">
        <v>0</v>
      </c>
      <c r="BB36" s="4">
        <v>0</v>
      </c>
      <c r="BC36" s="4">
        <v>0</v>
      </c>
      <c r="BD36" s="4">
        <v>0</v>
      </c>
      <c r="BE36" s="4">
        <v>0</v>
      </c>
    </row>
    <row r="37" spans="1:57">
      <c r="A37" s="10" t="s">
        <v>89</v>
      </c>
      <c r="B37" s="31" t="s">
        <v>90</v>
      </c>
      <c r="C37" s="4">
        <f t="shared" si="33"/>
        <v>1800</v>
      </c>
      <c r="D37" s="4">
        <f t="shared" si="33"/>
        <v>1800</v>
      </c>
      <c r="E37" s="4">
        <f t="shared" si="33"/>
        <v>1800</v>
      </c>
      <c r="F37" s="4">
        <f t="shared" si="32"/>
        <v>1872</v>
      </c>
      <c r="G37" s="4">
        <f t="shared" si="32"/>
        <v>1872</v>
      </c>
      <c r="H37" s="4">
        <f t="shared" si="32"/>
        <v>1872</v>
      </c>
      <c r="I37" s="4">
        <f t="shared" si="32"/>
        <v>0</v>
      </c>
      <c r="J37" s="4">
        <f t="shared" si="32"/>
        <v>1872</v>
      </c>
      <c r="K37" s="4">
        <f t="shared" si="32"/>
        <v>1872</v>
      </c>
      <c r="L37" s="4">
        <f t="shared" si="32"/>
        <v>1872</v>
      </c>
      <c r="M37" s="4">
        <f t="shared" si="32"/>
        <v>1872</v>
      </c>
      <c r="N37" s="4">
        <f t="shared" si="32"/>
        <v>1872</v>
      </c>
      <c r="O37" s="4">
        <f t="shared" si="32"/>
        <v>1872</v>
      </c>
      <c r="P37" s="4">
        <f t="shared" si="32"/>
        <v>1872</v>
      </c>
      <c r="Q37" s="4">
        <f t="shared" si="32"/>
        <v>1872</v>
      </c>
      <c r="R37" s="4">
        <f t="shared" si="32"/>
        <v>1872</v>
      </c>
      <c r="V37" s="4" t="s">
        <v>73</v>
      </c>
      <c r="W37" s="4" t="s">
        <v>62</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t="s">
        <v>73</v>
      </c>
      <c r="AO37" s="4" t="s">
        <v>91</v>
      </c>
      <c r="AP37" s="4">
        <v>1</v>
      </c>
      <c r="AQ37" s="4">
        <v>1</v>
      </c>
      <c r="AR37" s="4">
        <v>1</v>
      </c>
      <c r="AS37" s="4">
        <v>0</v>
      </c>
      <c r="AT37" s="4">
        <v>0</v>
      </c>
      <c r="AU37" s="4">
        <v>0</v>
      </c>
      <c r="AV37" s="1534"/>
      <c r="AW37" s="4">
        <v>0</v>
      </c>
      <c r="AX37" s="4">
        <v>0</v>
      </c>
      <c r="AY37" s="4">
        <v>0</v>
      </c>
      <c r="AZ37" s="4">
        <v>0</v>
      </c>
      <c r="BA37" s="4">
        <v>0</v>
      </c>
      <c r="BB37" s="4">
        <v>0</v>
      </c>
      <c r="BC37" s="4">
        <v>0</v>
      </c>
      <c r="BD37" s="4">
        <v>0</v>
      </c>
      <c r="BE37" s="4">
        <v>0</v>
      </c>
    </row>
    <row r="38" spans="1:57">
      <c r="AO38" s="14"/>
      <c r="AP38" s="14"/>
      <c r="AV38" s="1534"/>
    </row>
    <row r="39" spans="1:57" ht="15.75">
      <c r="A39" s="11" t="s">
        <v>92</v>
      </c>
      <c r="V39" s="115"/>
      <c r="W39" s="115"/>
      <c r="X39" s="110">
        <f t="shared" ref="X39:AM39" si="34">+C41</f>
        <v>44012</v>
      </c>
      <c r="Y39" s="110">
        <f t="shared" si="34"/>
        <v>44027</v>
      </c>
      <c r="Z39" s="110">
        <f t="shared" si="34"/>
        <v>44043</v>
      </c>
      <c r="AA39" s="110">
        <f t="shared" si="34"/>
        <v>44058</v>
      </c>
      <c r="AB39" s="110">
        <f t="shared" si="34"/>
        <v>44074</v>
      </c>
      <c r="AC39" s="110">
        <f t="shared" si="34"/>
        <v>44104</v>
      </c>
      <c r="AD39" s="110">
        <f t="shared" si="34"/>
        <v>44135</v>
      </c>
      <c r="AE39" s="110">
        <f t="shared" si="34"/>
        <v>44165</v>
      </c>
      <c r="AF39" s="110">
        <f t="shared" si="34"/>
        <v>44196</v>
      </c>
      <c r="AG39" s="110">
        <f t="shared" si="34"/>
        <v>44227</v>
      </c>
      <c r="AH39" s="110">
        <f t="shared" si="34"/>
        <v>44255</v>
      </c>
      <c r="AI39" s="110">
        <f t="shared" si="34"/>
        <v>44286</v>
      </c>
      <c r="AJ39" s="110">
        <f t="shared" si="34"/>
        <v>44316</v>
      </c>
      <c r="AK39" s="110">
        <f t="shared" si="34"/>
        <v>44331</v>
      </c>
      <c r="AL39" s="110">
        <f t="shared" si="34"/>
        <v>44347</v>
      </c>
      <c r="AM39" s="110">
        <f t="shared" si="34"/>
        <v>44362</v>
      </c>
      <c r="AN39" s="110"/>
      <c r="AO39" s="115"/>
      <c r="AP39" s="110">
        <f t="shared" ref="AP39:BE39" si="35">+X39</f>
        <v>44012</v>
      </c>
      <c r="AQ39" s="110">
        <f t="shared" si="35"/>
        <v>44027</v>
      </c>
      <c r="AR39" s="110">
        <f t="shared" si="35"/>
        <v>44043</v>
      </c>
      <c r="AS39" s="110">
        <f t="shared" si="35"/>
        <v>44058</v>
      </c>
      <c r="AT39" s="110">
        <f t="shared" si="35"/>
        <v>44074</v>
      </c>
      <c r="AU39" s="110">
        <f t="shared" si="35"/>
        <v>44104</v>
      </c>
      <c r="AV39" s="1534"/>
      <c r="AW39" s="110">
        <f t="shared" si="35"/>
        <v>44165</v>
      </c>
      <c r="AX39" s="110">
        <f t="shared" si="35"/>
        <v>44196</v>
      </c>
      <c r="AY39" s="110">
        <f t="shared" si="35"/>
        <v>44227</v>
      </c>
      <c r="AZ39" s="110">
        <f t="shared" si="35"/>
        <v>44255</v>
      </c>
      <c r="BA39" s="110">
        <f t="shared" si="35"/>
        <v>44286</v>
      </c>
      <c r="BB39" s="110">
        <f t="shared" si="35"/>
        <v>44316</v>
      </c>
      <c r="BC39" s="110">
        <f t="shared" si="35"/>
        <v>44331</v>
      </c>
      <c r="BD39" s="110">
        <f t="shared" si="35"/>
        <v>44347</v>
      </c>
      <c r="BE39" s="110">
        <f t="shared" si="35"/>
        <v>44362</v>
      </c>
    </row>
    <row r="40" spans="1:57">
      <c r="B40" s="13" t="s">
        <v>54</v>
      </c>
      <c r="X40" s="20"/>
      <c r="Y40" s="20"/>
      <c r="Z40" s="20"/>
      <c r="AA40" s="20"/>
      <c r="AB40" s="20"/>
      <c r="AC40" s="20"/>
      <c r="AD40" s="20"/>
      <c r="AE40" s="20"/>
      <c r="AF40" s="20"/>
      <c r="AG40" s="20"/>
      <c r="AH40" s="20"/>
      <c r="AI40" s="20"/>
      <c r="AJ40" s="20"/>
      <c r="AK40" s="20"/>
      <c r="AL40" s="20"/>
      <c r="AM40" s="20"/>
      <c r="AN40" s="20"/>
      <c r="AP40" s="20"/>
      <c r="AQ40" s="20"/>
      <c r="AR40" s="20"/>
      <c r="AS40" s="20"/>
      <c r="AT40" s="20"/>
      <c r="AU40" s="20"/>
      <c r="AV40" s="1534"/>
      <c r="AW40" s="20"/>
      <c r="AX40" s="20"/>
      <c r="AY40" s="20"/>
      <c r="AZ40" s="20"/>
      <c r="BA40" s="20"/>
      <c r="BB40" s="20"/>
      <c r="BC40" s="20"/>
      <c r="BD40" s="20"/>
      <c r="BE40" s="20"/>
    </row>
    <row r="41" spans="1:57">
      <c r="A41" s="16"/>
      <c r="B41" s="17" t="s">
        <v>58</v>
      </c>
      <c r="C41" s="18">
        <f t="shared" ref="C41:R41" si="36">+C31</f>
        <v>44012</v>
      </c>
      <c r="D41" s="18">
        <f t="shared" si="36"/>
        <v>44027</v>
      </c>
      <c r="E41" s="18">
        <f t="shared" si="36"/>
        <v>44043</v>
      </c>
      <c r="F41" s="18">
        <f t="shared" si="36"/>
        <v>44058</v>
      </c>
      <c r="G41" s="18">
        <f t="shared" si="36"/>
        <v>44074</v>
      </c>
      <c r="H41" s="18">
        <f t="shared" si="36"/>
        <v>44104</v>
      </c>
      <c r="I41" s="18">
        <f t="shared" si="36"/>
        <v>44135</v>
      </c>
      <c r="J41" s="18">
        <f t="shared" si="36"/>
        <v>44165</v>
      </c>
      <c r="K41" s="18">
        <f t="shared" si="36"/>
        <v>44196</v>
      </c>
      <c r="L41" s="18">
        <f t="shared" si="36"/>
        <v>44227</v>
      </c>
      <c r="M41" s="18">
        <f t="shared" si="36"/>
        <v>44255</v>
      </c>
      <c r="N41" s="18">
        <f t="shared" si="36"/>
        <v>44286</v>
      </c>
      <c r="O41" s="18">
        <f t="shared" si="36"/>
        <v>44316</v>
      </c>
      <c r="P41" s="18">
        <f t="shared" si="36"/>
        <v>44331</v>
      </c>
      <c r="Q41" s="18">
        <f t="shared" si="36"/>
        <v>44347</v>
      </c>
      <c r="R41" s="18">
        <f t="shared" si="36"/>
        <v>44362</v>
      </c>
      <c r="V41" s="4" t="s">
        <v>60</v>
      </c>
      <c r="W41" s="4" t="s">
        <v>67</v>
      </c>
      <c r="X41" s="4">
        <f t="shared" ref="X41:AI44" si="37">9-X33</f>
        <v>0</v>
      </c>
      <c r="Y41" s="4">
        <f t="shared" si="37"/>
        <v>0</v>
      </c>
      <c r="Z41" s="4">
        <f t="shared" si="37"/>
        <v>0</v>
      </c>
      <c r="AA41" s="4">
        <f t="shared" si="37"/>
        <v>0</v>
      </c>
      <c r="AB41" s="4">
        <f t="shared" si="37"/>
        <v>0.5</v>
      </c>
      <c r="AC41" s="4">
        <f t="shared" si="37"/>
        <v>1.5</v>
      </c>
      <c r="AD41" s="4">
        <f t="shared" si="37"/>
        <v>2.5</v>
      </c>
      <c r="AE41" s="4">
        <f t="shared" si="37"/>
        <v>3.5</v>
      </c>
      <c r="AF41" s="4">
        <f t="shared" si="37"/>
        <v>4.5</v>
      </c>
      <c r="AG41" s="4">
        <f t="shared" si="37"/>
        <v>5.5</v>
      </c>
      <c r="AH41" s="4">
        <f t="shared" si="37"/>
        <v>6.5</v>
      </c>
      <c r="AI41" s="4">
        <f t="shared" si="37"/>
        <v>7.5</v>
      </c>
      <c r="AJ41" s="4">
        <v>8.5</v>
      </c>
      <c r="AK41" s="4">
        <v>9</v>
      </c>
      <c r="AL41" s="4">
        <v>9</v>
      </c>
      <c r="AM41" s="4">
        <v>9</v>
      </c>
      <c r="AN41" s="4" t="s">
        <v>60</v>
      </c>
      <c r="AO41" s="4" t="s">
        <v>74</v>
      </c>
      <c r="AP41" s="4">
        <f t="shared" ref="AP41:BE42" si="38">1-AP33</f>
        <v>1</v>
      </c>
      <c r="AQ41" s="4">
        <f t="shared" si="38"/>
        <v>1</v>
      </c>
      <c r="AR41" s="4">
        <f t="shared" si="38"/>
        <v>1</v>
      </c>
      <c r="AS41" s="4">
        <f t="shared" si="38"/>
        <v>1</v>
      </c>
      <c r="AT41" s="4">
        <f t="shared" si="38"/>
        <v>1</v>
      </c>
      <c r="AU41" s="4">
        <f t="shared" si="38"/>
        <v>1</v>
      </c>
      <c r="AV41" s="1534"/>
      <c r="AW41" s="4">
        <f t="shared" si="38"/>
        <v>1</v>
      </c>
      <c r="AX41" s="4">
        <f t="shared" si="38"/>
        <v>1</v>
      </c>
      <c r="AY41" s="4">
        <f t="shared" si="38"/>
        <v>1</v>
      </c>
      <c r="AZ41" s="4">
        <f t="shared" si="38"/>
        <v>1</v>
      </c>
      <c r="BA41" s="4">
        <f t="shared" si="38"/>
        <v>1</v>
      </c>
      <c r="BB41" s="4">
        <f t="shared" si="38"/>
        <v>1</v>
      </c>
      <c r="BC41" s="4">
        <f t="shared" si="38"/>
        <v>1</v>
      </c>
      <c r="BD41" s="4">
        <f t="shared" si="38"/>
        <v>1</v>
      </c>
      <c r="BE41" s="4">
        <f t="shared" si="38"/>
        <v>1</v>
      </c>
    </row>
    <row r="42" spans="1:57">
      <c r="V42" s="4" t="s">
        <v>65</v>
      </c>
      <c r="W42" s="4" t="s">
        <v>67</v>
      </c>
      <c r="X42" s="4">
        <f t="shared" si="37"/>
        <v>0</v>
      </c>
      <c r="Y42" s="4">
        <f t="shared" si="37"/>
        <v>0</v>
      </c>
      <c r="Z42" s="4">
        <f t="shared" si="37"/>
        <v>0</v>
      </c>
      <c r="AA42" s="4">
        <f t="shared" si="37"/>
        <v>0</v>
      </c>
      <c r="AB42" s="4">
        <f t="shared" si="37"/>
        <v>0.5</v>
      </c>
      <c r="AC42" s="4">
        <f t="shared" si="37"/>
        <v>1.5</v>
      </c>
      <c r="AD42" s="4">
        <f t="shared" si="37"/>
        <v>2.5</v>
      </c>
      <c r="AE42" s="4">
        <f t="shared" si="37"/>
        <v>3.5</v>
      </c>
      <c r="AF42" s="4">
        <f t="shared" si="37"/>
        <v>4.5</v>
      </c>
      <c r="AG42" s="4">
        <f t="shared" si="37"/>
        <v>5.5</v>
      </c>
      <c r="AH42" s="4">
        <f t="shared" si="37"/>
        <v>6.5</v>
      </c>
      <c r="AI42" s="4">
        <f t="shared" si="37"/>
        <v>7.5</v>
      </c>
      <c r="AJ42" s="4">
        <v>8.5</v>
      </c>
      <c r="AK42" s="4">
        <v>9</v>
      </c>
      <c r="AL42" s="4">
        <v>9</v>
      </c>
      <c r="AM42" s="4">
        <v>9</v>
      </c>
      <c r="AN42" s="4" t="s">
        <v>65</v>
      </c>
      <c r="AO42" s="4" t="s">
        <v>74</v>
      </c>
      <c r="AP42" s="4">
        <f t="shared" si="38"/>
        <v>1</v>
      </c>
      <c r="AQ42" s="4">
        <f t="shared" si="38"/>
        <v>1</v>
      </c>
      <c r="AR42" s="4">
        <f t="shared" si="38"/>
        <v>1</v>
      </c>
      <c r="AS42" s="4">
        <f t="shared" si="38"/>
        <v>1</v>
      </c>
      <c r="AT42" s="4">
        <f t="shared" si="38"/>
        <v>1</v>
      </c>
      <c r="AU42" s="4">
        <f t="shared" si="38"/>
        <v>1</v>
      </c>
      <c r="AV42" s="1534"/>
      <c r="AW42" s="4">
        <f t="shared" si="38"/>
        <v>1</v>
      </c>
      <c r="AX42" s="4">
        <f t="shared" si="38"/>
        <v>1</v>
      </c>
      <c r="AY42" s="4">
        <f t="shared" si="38"/>
        <v>1</v>
      </c>
      <c r="AZ42" s="4">
        <f t="shared" si="38"/>
        <v>1</v>
      </c>
      <c r="BA42" s="4">
        <f t="shared" si="38"/>
        <v>1</v>
      </c>
      <c r="BB42" s="4">
        <f t="shared" si="38"/>
        <v>1</v>
      </c>
      <c r="BC42" s="4">
        <f t="shared" si="38"/>
        <v>1</v>
      </c>
      <c r="BD42" s="4">
        <f t="shared" si="38"/>
        <v>1</v>
      </c>
      <c r="BE42" s="4">
        <f t="shared" si="38"/>
        <v>1</v>
      </c>
    </row>
    <row r="43" spans="1:57">
      <c r="A43" s="10" t="s">
        <v>87</v>
      </c>
      <c r="B43" s="4">
        <v>12</v>
      </c>
      <c r="C43" s="4">
        <f t="shared" ref="C43:E44" si="39">ROUND((($AB$27*(X33/9))+($AC$27*(X41/9))+($AD$27*(X49/9))+($AB$28*AP33)+($AB$28*AP41)*1),0)</f>
        <v>29642</v>
      </c>
      <c r="D43" s="4">
        <f t="shared" si="39"/>
        <v>29642</v>
      </c>
      <c r="E43" s="4">
        <f t="shared" si="39"/>
        <v>29642</v>
      </c>
      <c r="F43" s="4">
        <f t="shared" ref="F43:R47" si="40">ROUND((($AB$27*(AA33/9))+($AC$27*(AA41/9))+($AD$27*(AA49/9))+($AB$28*AS33)+($AC$28*AS41)*1),0)</f>
        <v>29714</v>
      </c>
      <c r="G43" s="4">
        <f t="shared" si="40"/>
        <v>29775</v>
      </c>
      <c r="H43" s="4">
        <f t="shared" si="40"/>
        <v>29899</v>
      </c>
      <c r="I43" s="4">
        <f t="shared" si="40"/>
        <v>28151</v>
      </c>
      <c r="J43" s="4">
        <f t="shared" si="40"/>
        <v>30147</v>
      </c>
      <c r="K43" s="4">
        <f t="shared" si="40"/>
        <v>30271</v>
      </c>
      <c r="L43" s="4">
        <f t="shared" si="40"/>
        <v>30394</v>
      </c>
      <c r="M43" s="4">
        <f t="shared" si="40"/>
        <v>30518</v>
      </c>
      <c r="N43" s="4">
        <f t="shared" si="40"/>
        <v>30642</v>
      </c>
      <c r="O43" s="4">
        <f t="shared" si="40"/>
        <v>30766</v>
      </c>
      <c r="P43" s="4">
        <f t="shared" si="40"/>
        <v>30828</v>
      </c>
      <c r="Q43" s="4">
        <f t="shared" si="40"/>
        <v>30828</v>
      </c>
      <c r="R43" s="4">
        <f t="shared" si="40"/>
        <v>30828</v>
      </c>
      <c r="V43" s="4" t="s">
        <v>69</v>
      </c>
      <c r="W43" s="4" t="s">
        <v>67</v>
      </c>
      <c r="X43" s="4">
        <f t="shared" si="37"/>
        <v>0</v>
      </c>
      <c r="Y43" s="4">
        <f t="shared" si="37"/>
        <v>0</v>
      </c>
      <c r="Z43" s="4">
        <f t="shared" si="37"/>
        <v>0</v>
      </c>
      <c r="AA43" s="4">
        <f t="shared" si="37"/>
        <v>0</v>
      </c>
      <c r="AB43" s="4">
        <f t="shared" si="37"/>
        <v>0.5</v>
      </c>
      <c r="AC43" s="4">
        <f t="shared" si="37"/>
        <v>1.5</v>
      </c>
      <c r="AD43" s="4">
        <f t="shared" si="37"/>
        <v>2.5</v>
      </c>
      <c r="AE43" s="4">
        <f t="shared" si="37"/>
        <v>3.5</v>
      </c>
      <c r="AF43" s="4">
        <f t="shared" si="37"/>
        <v>4.5</v>
      </c>
      <c r="AG43" s="4">
        <f t="shared" si="37"/>
        <v>5.5</v>
      </c>
      <c r="AH43" s="4">
        <f t="shared" si="37"/>
        <v>6.5</v>
      </c>
      <c r="AI43" s="4">
        <f t="shared" si="37"/>
        <v>7.5</v>
      </c>
      <c r="AJ43" s="4">
        <v>8.5</v>
      </c>
      <c r="AK43" s="4">
        <v>9</v>
      </c>
      <c r="AL43" s="4">
        <v>9</v>
      </c>
      <c r="AM43" s="4">
        <v>9</v>
      </c>
      <c r="AN43" s="4" t="s">
        <v>69</v>
      </c>
      <c r="AO43" s="4" t="s">
        <v>74</v>
      </c>
      <c r="AP43" s="4">
        <v>0</v>
      </c>
      <c r="AQ43" s="4">
        <v>0</v>
      </c>
      <c r="AR43" s="4">
        <v>0</v>
      </c>
      <c r="AS43" s="4">
        <v>0</v>
      </c>
      <c r="AT43" s="4">
        <v>0</v>
      </c>
      <c r="AU43" s="4">
        <v>0</v>
      </c>
      <c r="AV43" s="1534"/>
      <c r="AW43" s="4">
        <v>0</v>
      </c>
      <c r="AX43" s="4">
        <v>0</v>
      </c>
      <c r="AY43" s="4">
        <v>0</v>
      </c>
      <c r="AZ43" s="4">
        <v>0</v>
      </c>
      <c r="BA43" s="4">
        <v>0</v>
      </c>
      <c r="BB43" s="4">
        <v>0</v>
      </c>
      <c r="BC43" s="4">
        <v>0</v>
      </c>
      <c r="BD43" s="4">
        <v>0</v>
      </c>
      <c r="BE43" s="4">
        <v>0</v>
      </c>
    </row>
    <row r="44" spans="1:57">
      <c r="A44" s="10" t="s">
        <v>87</v>
      </c>
      <c r="B44" s="4">
        <v>11</v>
      </c>
      <c r="C44" s="4">
        <f t="shared" si="39"/>
        <v>29642</v>
      </c>
      <c r="D44" s="4">
        <f t="shared" si="39"/>
        <v>29642</v>
      </c>
      <c r="E44" s="4">
        <f t="shared" si="39"/>
        <v>29642</v>
      </c>
      <c r="F44" s="4">
        <f t="shared" si="40"/>
        <v>29714</v>
      </c>
      <c r="G44" s="4">
        <f t="shared" si="40"/>
        <v>29775</v>
      </c>
      <c r="H44" s="4">
        <f t="shared" si="40"/>
        <v>29899</v>
      </c>
      <c r="I44" s="4">
        <f t="shared" si="40"/>
        <v>28151</v>
      </c>
      <c r="J44" s="4">
        <f t="shared" si="40"/>
        <v>30147</v>
      </c>
      <c r="K44" s="4">
        <f t="shared" si="40"/>
        <v>30271</v>
      </c>
      <c r="L44" s="4">
        <f t="shared" si="40"/>
        <v>30394</v>
      </c>
      <c r="M44" s="4">
        <f t="shared" si="40"/>
        <v>30518</v>
      </c>
      <c r="N44" s="4">
        <f t="shared" si="40"/>
        <v>30642</v>
      </c>
      <c r="O44" s="4">
        <f t="shared" si="40"/>
        <v>30766</v>
      </c>
      <c r="P44" s="4">
        <f t="shared" si="40"/>
        <v>30828</v>
      </c>
      <c r="Q44" s="4">
        <f t="shared" si="40"/>
        <v>30828</v>
      </c>
      <c r="R44" s="4">
        <f t="shared" si="40"/>
        <v>30828</v>
      </c>
      <c r="V44" s="4" t="s">
        <v>71</v>
      </c>
      <c r="W44" s="4" t="s">
        <v>93</v>
      </c>
      <c r="X44" s="4">
        <f t="shared" si="37"/>
        <v>0</v>
      </c>
      <c r="Y44" s="4">
        <f t="shared" si="37"/>
        <v>0</v>
      </c>
      <c r="Z44" s="4">
        <f t="shared" si="37"/>
        <v>0</v>
      </c>
      <c r="AA44" s="4">
        <f t="shared" si="37"/>
        <v>0</v>
      </c>
      <c r="AB44" s="4">
        <f t="shared" si="37"/>
        <v>0.5</v>
      </c>
      <c r="AC44" s="4">
        <f t="shared" si="37"/>
        <v>1.5</v>
      </c>
      <c r="AD44" s="4">
        <f t="shared" si="37"/>
        <v>2.5</v>
      </c>
      <c r="AE44" s="4">
        <f t="shared" si="37"/>
        <v>3.5</v>
      </c>
      <c r="AF44" s="4">
        <f t="shared" si="37"/>
        <v>4.5</v>
      </c>
      <c r="AG44" s="4">
        <f t="shared" si="37"/>
        <v>5.5</v>
      </c>
      <c r="AH44" s="4">
        <f t="shared" si="37"/>
        <v>6.5</v>
      </c>
      <c r="AI44" s="4">
        <f t="shared" si="37"/>
        <v>7.5</v>
      </c>
      <c r="AJ44" s="4">
        <v>8.5</v>
      </c>
      <c r="AK44" s="4">
        <v>9</v>
      </c>
      <c r="AL44" s="4">
        <v>9</v>
      </c>
      <c r="AM44" s="4">
        <v>9</v>
      </c>
      <c r="AN44" s="4" t="s">
        <v>71</v>
      </c>
      <c r="AO44" s="4" t="s">
        <v>74</v>
      </c>
      <c r="AP44" s="4">
        <v>0</v>
      </c>
      <c r="AQ44" s="4">
        <v>0</v>
      </c>
      <c r="AR44" s="4">
        <v>0</v>
      </c>
      <c r="AS44" s="4">
        <v>0</v>
      </c>
      <c r="AT44" s="4">
        <v>0</v>
      </c>
      <c r="AU44" s="4">
        <v>0</v>
      </c>
      <c r="AV44" s="1534"/>
      <c r="AW44" s="4">
        <v>0</v>
      </c>
      <c r="AX44" s="4">
        <v>0</v>
      </c>
      <c r="AY44" s="4">
        <v>0</v>
      </c>
      <c r="AZ44" s="4">
        <v>0</v>
      </c>
      <c r="BA44" s="4">
        <v>0</v>
      </c>
      <c r="BB44" s="4">
        <v>0</v>
      </c>
      <c r="BC44" s="4">
        <v>0</v>
      </c>
      <c r="BD44" s="4">
        <v>0</v>
      </c>
      <c r="BE44" s="4">
        <v>0</v>
      </c>
    </row>
    <row r="45" spans="1:57">
      <c r="A45" s="10" t="s">
        <v>88</v>
      </c>
      <c r="B45" s="4">
        <v>10</v>
      </c>
      <c r="C45" s="4">
        <f t="shared" ref="C45:E47" si="41">ROUND((($AB$27*(X35/9))+($AC$27*(X43/9))+($AD$27*(X51/9))+($AB$28*AP35)+($AC$28*AP43)*1),0)</f>
        <v>27842</v>
      </c>
      <c r="D45" s="4">
        <f t="shared" si="41"/>
        <v>27842</v>
      </c>
      <c r="E45" s="4">
        <f t="shared" si="41"/>
        <v>27842</v>
      </c>
      <c r="F45" s="4">
        <f t="shared" si="40"/>
        <v>27842</v>
      </c>
      <c r="G45" s="4">
        <f t="shared" si="40"/>
        <v>27904</v>
      </c>
      <c r="H45" s="4">
        <f t="shared" si="40"/>
        <v>28028</v>
      </c>
      <c r="I45" s="4">
        <f t="shared" si="40"/>
        <v>28151</v>
      </c>
      <c r="J45" s="4">
        <f t="shared" si="40"/>
        <v>28275</v>
      </c>
      <c r="K45" s="4">
        <f t="shared" si="40"/>
        <v>28399</v>
      </c>
      <c r="L45" s="4">
        <f t="shared" si="40"/>
        <v>28523</v>
      </c>
      <c r="M45" s="4">
        <f t="shared" si="40"/>
        <v>28647</v>
      </c>
      <c r="N45" s="4">
        <f t="shared" si="40"/>
        <v>28770</v>
      </c>
      <c r="O45" s="4">
        <f t="shared" si="40"/>
        <v>28894</v>
      </c>
      <c r="P45" s="4">
        <f t="shared" si="40"/>
        <v>28956</v>
      </c>
      <c r="Q45" s="4">
        <f t="shared" si="40"/>
        <v>28956</v>
      </c>
      <c r="R45" s="4">
        <f t="shared" si="40"/>
        <v>28956</v>
      </c>
      <c r="V45" s="4" t="s">
        <v>73</v>
      </c>
      <c r="W45" s="4" t="s">
        <v>74</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t="s">
        <v>94</v>
      </c>
      <c r="AO45" s="4" t="s">
        <v>74</v>
      </c>
      <c r="AP45" s="4">
        <v>0</v>
      </c>
      <c r="AQ45" s="4">
        <v>0</v>
      </c>
      <c r="AR45" s="4">
        <v>0</v>
      </c>
      <c r="AS45" s="4">
        <v>1</v>
      </c>
      <c r="AT45" s="4">
        <v>1</v>
      </c>
      <c r="AU45" s="4">
        <v>1</v>
      </c>
      <c r="AV45" s="1534"/>
      <c r="AW45" s="4">
        <v>1</v>
      </c>
      <c r="AX45" s="4">
        <v>1</v>
      </c>
      <c r="AY45" s="4">
        <v>1</v>
      </c>
      <c r="AZ45" s="4">
        <v>1</v>
      </c>
      <c r="BA45" s="4">
        <v>1</v>
      </c>
      <c r="BB45" s="4">
        <v>1</v>
      </c>
      <c r="BC45" s="4">
        <v>1</v>
      </c>
      <c r="BD45" s="4">
        <v>1</v>
      </c>
      <c r="BE45" s="4">
        <v>1</v>
      </c>
    </row>
    <row r="46" spans="1:57">
      <c r="A46" s="10" t="s">
        <v>88</v>
      </c>
      <c r="B46" s="4">
        <v>9</v>
      </c>
      <c r="C46" s="4">
        <f t="shared" si="41"/>
        <v>27842</v>
      </c>
      <c r="D46" s="4">
        <f t="shared" si="41"/>
        <v>27842</v>
      </c>
      <c r="E46" s="4">
        <f t="shared" si="41"/>
        <v>27842</v>
      </c>
      <c r="F46" s="4">
        <f t="shared" si="40"/>
        <v>27842</v>
      </c>
      <c r="G46" s="4">
        <f t="shared" si="40"/>
        <v>27904</v>
      </c>
      <c r="H46" s="4">
        <f t="shared" si="40"/>
        <v>28028</v>
      </c>
      <c r="I46" s="4">
        <f t="shared" si="40"/>
        <v>28151</v>
      </c>
      <c r="J46" s="4">
        <f t="shared" si="40"/>
        <v>28275</v>
      </c>
      <c r="K46" s="4">
        <f t="shared" si="40"/>
        <v>28399</v>
      </c>
      <c r="L46" s="4">
        <f t="shared" si="40"/>
        <v>28523</v>
      </c>
      <c r="M46" s="4">
        <f t="shared" si="40"/>
        <v>28647</v>
      </c>
      <c r="N46" s="4">
        <f t="shared" si="40"/>
        <v>28770</v>
      </c>
      <c r="O46" s="4">
        <f t="shared" si="40"/>
        <v>28894</v>
      </c>
      <c r="P46" s="4">
        <f t="shared" si="40"/>
        <v>28956</v>
      </c>
      <c r="Q46" s="4">
        <f t="shared" si="40"/>
        <v>28956</v>
      </c>
      <c r="R46" s="4">
        <f t="shared" si="40"/>
        <v>28956</v>
      </c>
      <c r="W46" s="14" t="s">
        <v>95</v>
      </c>
      <c r="X46" s="14"/>
      <c r="AV46" s="1534"/>
    </row>
    <row r="47" spans="1:57">
      <c r="A47" s="10" t="s">
        <v>89</v>
      </c>
      <c r="B47" s="31" t="s">
        <v>90</v>
      </c>
      <c r="C47" s="4">
        <f t="shared" si="41"/>
        <v>1800</v>
      </c>
      <c r="D47" s="4">
        <f t="shared" si="41"/>
        <v>1800</v>
      </c>
      <c r="E47" s="4">
        <f t="shared" si="41"/>
        <v>1800</v>
      </c>
      <c r="F47" s="4">
        <f t="shared" si="40"/>
        <v>1872</v>
      </c>
      <c r="G47" s="4">
        <f t="shared" si="40"/>
        <v>1872</v>
      </c>
      <c r="H47" s="4">
        <f t="shared" si="40"/>
        <v>1872</v>
      </c>
      <c r="I47" s="4">
        <f t="shared" si="40"/>
        <v>0</v>
      </c>
      <c r="J47" s="4">
        <f t="shared" si="40"/>
        <v>1872</v>
      </c>
      <c r="K47" s="4">
        <f t="shared" si="40"/>
        <v>1872</v>
      </c>
      <c r="L47" s="4">
        <f t="shared" si="40"/>
        <v>1872</v>
      </c>
      <c r="M47" s="4">
        <f t="shared" si="40"/>
        <v>1872</v>
      </c>
      <c r="N47" s="4">
        <f t="shared" si="40"/>
        <v>1872</v>
      </c>
      <c r="O47" s="4">
        <f t="shared" si="40"/>
        <v>1872</v>
      </c>
      <c r="P47" s="4">
        <f t="shared" si="40"/>
        <v>1872</v>
      </c>
      <c r="Q47" s="4">
        <f t="shared" si="40"/>
        <v>1872</v>
      </c>
      <c r="R47" s="4">
        <f t="shared" si="40"/>
        <v>1872</v>
      </c>
      <c r="W47" s="14"/>
      <c r="X47" s="14"/>
      <c r="AV47" s="1534"/>
    </row>
    <row r="48" spans="1:57">
      <c r="V48" s="115"/>
      <c r="W48" s="115"/>
      <c r="X48" s="110">
        <f t="shared" ref="X48:AM48" si="42">+C52</f>
        <v>44012</v>
      </c>
      <c r="Y48" s="110">
        <f t="shared" si="42"/>
        <v>44027</v>
      </c>
      <c r="Z48" s="110">
        <f t="shared" si="42"/>
        <v>44043</v>
      </c>
      <c r="AA48" s="110">
        <f t="shared" si="42"/>
        <v>44058</v>
      </c>
      <c r="AB48" s="110">
        <f t="shared" si="42"/>
        <v>44074</v>
      </c>
      <c r="AC48" s="110">
        <f t="shared" si="42"/>
        <v>44104</v>
      </c>
      <c r="AD48" s="110">
        <f t="shared" si="42"/>
        <v>44135</v>
      </c>
      <c r="AE48" s="110">
        <f t="shared" si="42"/>
        <v>44165</v>
      </c>
      <c r="AF48" s="110">
        <f t="shared" si="42"/>
        <v>44196</v>
      </c>
      <c r="AG48" s="110">
        <f t="shared" si="42"/>
        <v>44227</v>
      </c>
      <c r="AH48" s="110">
        <f t="shared" si="42"/>
        <v>44255</v>
      </c>
      <c r="AI48" s="110">
        <f t="shared" si="42"/>
        <v>44286</v>
      </c>
      <c r="AJ48" s="110">
        <f t="shared" si="42"/>
        <v>44316</v>
      </c>
      <c r="AK48" s="110">
        <f t="shared" si="42"/>
        <v>44331</v>
      </c>
      <c r="AL48" s="110">
        <f t="shared" si="42"/>
        <v>44347</v>
      </c>
      <c r="AM48" s="110">
        <f t="shared" si="42"/>
        <v>44362</v>
      </c>
      <c r="AV48" s="1534"/>
    </row>
    <row r="49" spans="1:48" ht="18.75" thickBot="1">
      <c r="A49" s="6" t="s">
        <v>96</v>
      </c>
      <c r="B49" s="7"/>
      <c r="C49" s="7"/>
      <c r="D49" s="7"/>
      <c r="E49" s="7"/>
      <c r="F49" s="7"/>
      <c r="G49" s="7"/>
      <c r="H49" s="7"/>
      <c r="I49" s="7"/>
      <c r="J49" s="7"/>
      <c r="K49" s="7"/>
      <c r="L49" s="7"/>
      <c r="M49" s="7"/>
      <c r="N49" s="7"/>
      <c r="O49" s="7"/>
      <c r="P49" s="7"/>
      <c r="Q49" s="7"/>
      <c r="R49" s="7"/>
      <c r="V49" s="4" t="s">
        <v>60</v>
      </c>
      <c r="W49" s="4" t="s">
        <v>61</v>
      </c>
      <c r="X49" s="4">
        <f t="shared" ref="X49:AM52" si="43">9-(X41+X33)</f>
        <v>0</v>
      </c>
      <c r="Y49" s="4">
        <f t="shared" si="43"/>
        <v>0</v>
      </c>
      <c r="Z49" s="4">
        <f t="shared" si="43"/>
        <v>0</v>
      </c>
      <c r="AA49" s="4">
        <f t="shared" si="43"/>
        <v>0</v>
      </c>
      <c r="AB49" s="4">
        <f t="shared" si="43"/>
        <v>0</v>
      </c>
      <c r="AC49" s="4">
        <f t="shared" si="43"/>
        <v>0</v>
      </c>
      <c r="AD49" s="4">
        <f t="shared" si="43"/>
        <v>0</v>
      </c>
      <c r="AE49" s="4">
        <f t="shared" si="43"/>
        <v>0</v>
      </c>
      <c r="AF49" s="4">
        <f t="shared" si="43"/>
        <v>0</v>
      </c>
      <c r="AG49" s="4">
        <f t="shared" si="43"/>
        <v>0</v>
      </c>
      <c r="AH49" s="4">
        <f t="shared" si="43"/>
        <v>0</v>
      </c>
      <c r="AI49" s="4">
        <f t="shared" si="43"/>
        <v>0</v>
      </c>
      <c r="AJ49" s="4">
        <f t="shared" si="43"/>
        <v>0</v>
      </c>
      <c r="AK49" s="4">
        <f t="shared" si="43"/>
        <v>0</v>
      </c>
      <c r="AL49" s="4">
        <f t="shared" si="43"/>
        <v>0</v>
      </c>
      <c r="AM49" s="4">
        <f t="shared" si="43"/>
        <v>0</v>
      </c>
      <c r="AV49" s="1534"/>
    </row>
    <row r="50" spans="1:48" ht="18">
      <c r="A50" s="21" t="s">
        <v>84</v>
      </c>
      <c r="B50" s="22">
        <v>0.04</v>
      </c>
      <c r="C50" s="4" t="s">
        <v>85</v>
      </c>
      <c r="V50" s="4" t="s">
        <v>65</v>
      </c>
      <c r="W50" s="4" t="s">
        <v>66</v>
      </c>
      <c r="X50" s="4">
        <f t="shared" si="43"/>
        <v>0</v>
      </c>
      <c r="Y50" s="4">
        <f t="shared" si="43"/>
        <v>0</v>
      </c>
      <c r="Z50" s="4">
        <f t="shared" si="43"/>
        <v>0</v>
      </c>
      <c r="AA50" s="4">
        <f t="shared" si="43"/>
        <v>0</v>
      </c>
      <c r="AB50" s="4">
        <f t="shared" si="43"/>
        <v>0</v>
      </c>
      <c r="AC50" s="4">
        <f t="shared" si="43"/>
        <v>0</v>
      </c>
      <c r="AD50" s="4">
        <f t="shared" si="43"/>
        <v>0</v>
      </c>
      <c r="AE50" s="4">
        <f t="shared" si="43"/>
        <v>0</v>
      </c>
      <c r="AF50" s="4">
        <f t="shared" si="43"/>
        <v>0</v>
      </c>
      <c r="AG50" s="4">
        <f t="shared" si="43"/>
        <v>0</v>
      </c>
      <c r="AH50" s="4">
        <f t="shared" si="43"/>
        <v>0</v>
      </c>
      <c r="AI50" s="4">
        <f t="shared" si="43"/>
        <v>0</v>
      </c>
      <c r="AJ50" s="4">
        <f t="shared" si="43"/>
        <v>0</v>
      </c>
      <c r="AK50" s="4">
        <f t="shared" si="43"/>
        <v>0</v>
      </c>
      <c r="AL50" s="4">
        <f t="shared" si="43"/>
        <v>0</v>
      </c>
      <c r="AM50" s="4">
        <f t="shared" si="43"/>
        <v>0</v>
      </c>
      <c r="AV50" s="1534"/>
    </row>
    <row r="51" spans="1:48">
      <c r="B51" s="13" t="s">
        <v>54</v>
      </c>
      <c r="V51" s="4" t="s">
        <v>69</v>
      </c>
      <c r="W51" s="4" t="s">
        <v>66</v>
      </c>
      <c r="X51" s="4">
        <f t="shared" si="43"/>
        <v>0</v>
      </c>
      <c r="Y51" s="4">
        <f t="shared" si="43"/>
        <v>0</v>
      </c>
      <c r="Z51" s="4">
        <f t="shared" si="43"/>
        <v>0</v>
      </c>
      <c r="AA51" s="4">
        <f t="shared" si="43"/>
        <v>0</v>
      </c>
      <c r="AB51" s="4">
        <f t="shared" si="43"/>
        <v>0</v>
      </c>
      <c r="AC51" s="4">
        <f t="shared" si="43"/>
        <v>0</v>
      </c>
      <c r="AD51" s="4">
        <f t="shared" si="43"/>
        <v>0</v>
      </c>
      <c r="AE51" s="4">
        <f t="shared" si="43"/>
        <v>0</v>
      </c>
      <c r="AF51" s="4">
        <f t="shared" si="43"/>
        <v>0</v>
      </c>
      <c r="AG51" s="4">
        <f t="shared" si="43"/>
        <v>0</v>
      </c>
      <c r="AH51" s="4">
        <f t="shared" si="43"/>
        <v>0</v>
      </c>
      <c r="AI51" s="4">
        <f t="shared" si="43"/>
        <v>0</v>
      </c>
      <c r="AJ51" s="4">
        <f t="shared" si="43"/>
        <v>0</v>
      </c>
      <c r="AK51" s="4">
        <f t="shared" si="43"/>
        <v>0</v>
      </c>
      <c r="AL51" s="4">
        <f t="shared" si="43"/>
        <v>0</v>
      </c>
      <c r="AM51" s="4">
        <f t="shared" si="43"/>
        <v>0</v>
      </c>
      <c r="AV51" s="1534"/>
    </row>
    <row r="52" spans="1:48">
      <c r="A52" s="16"/>
      <c r="B52" s="17" t="s">
        <v>58</v>
      </c>
      <c r="C52" s="18">
        <f t="shared" ref="C52:R52" si="44">+C41</f>
        <v>44012</v>
      </c>
      <c r="D52" s="18">
        <f t="shared" si="44"/>
        <v>44027</v>
      </c>
      <c r="E52" s="18">
        <f t="shared" si="44"/>
        <v>44043</v>
      </c>
      <c r="F52" s="18">
        <f t="shared" si="44"/>
        <v>44058</v>
      </c>
      <c r="G52" s="18">
        <f t="shared" si="44"/>
        <v>44074</v>
      </c>
      <c r="H52" s="18">
        <f t="shared" si="44"/>
        <v>44104</v>
      </c>
      <c r="I52" s="18">
        <f t="shared" si="44"/>
        <v>44135</v>
      </c>
      <c r="J52" s="18">
        <f t="shared" si="44"/>
        <v>44165</v>
      </c>
      <c r="K52" s="18">
        <f t="shared" si="44"/>
        <v>44196</v>
      </c>
      <c r="L52" s="18">
        <f t="shared" si="44"/>
        <v>44227</v>
      </c>
      <c r="M52" s="18">
        <f t="shared" si="44"/>
        <v>44255</v>
      </c>
      <c r="N52" s="18">
        <f t="shared" si="44"/>
        <v>44286</v>
      </c>
      <c r="O52" s="18">
        <f t="shared" si="44"/>
        <v>44316</v>
      </c>
      <c r="P52" s="18">
        <f t="shared" si="44"/>
        <v>44331</v>
      </c>
      <c r="Q52" s="18">
        <f t="shared" si="44"/>
        <v>44347</v>
      </c>
      <c r="R52" s="18">
        <f t="shared" si="44"/>
        <v>44362</v>
      </c>
      <c r="V52" s="4" t="s">
        <v>71</v>
      </c>
      <c r="W52" s="4" t="s">
        <v>66</v>
      </c>
      <c r="X52" s="4">
        <f t="shared" si="43"/>
        <v>0</v>
      </c>
      <c r="Y52" s="4">
        <f t="shared" si="43"/>
        <v>0</v>
      </c>
      <c r="Z52" s="4">
        <f t="shared" si="43"/>
        <v>0</v>
      </c>
      <c r="AA52" s="4">
        <f t="shared" si="43"/>
        <v>0</v>
      </c>
      <c r="AB52" s="4">
        <f t="shared" si="43"/>
        <v>0</v>
      </c>
      <c r="AC52" s="4">
        <f t="shared" si="43"/>
        <v>0</v>
      </c>
      <c r="AD52" s="4">
        <f t="shared" si="43"/>
        <v>0</v>
      </c>
      <c r="AE52" s="4">
        <f t="shared" si="43"/>
        <v>0</v>
      </c>
      <c r="AF52" s="4">
        <f t="shared" si="43"/>
        <v>0</v>
      </c>
      <c r="AG52" s="4">
        <f t="shared" si="43"/>
        <v>0</v>
      </c>
      <c r="AH52" s="4">
        <f t="shared" si="43"/>
        <v>0</v>
      </c>
      <c r="AI52" s="4">
        <f t="shared" si="43"/>
        <v>0</v>
      </c>
      <c r="AJ52" s="4">
        <f t="shared" si="43"/>
        <v>0</v>
      </c>
      <c r="AK52" s="4">
        <f t="shared" si="43"/>
        <v>0</v>
      </c>
      <c r="AL52" s="4">
        <f t="shared" si="43"/>
        <v>0</v>
      </c>
      <c r="AM52" s="4">
        <f t="shared" si="43"/>
        <v>0</v>
      </c>
      <c r="AV52" s="1534"/>
    </row>
    <row r="53" spans="1:48">
      <c r="V53" s="4" t="s">
        <v>73</v>
      </c>
      <c r="W53" s="4" t="s">
        <v>74</v>
      </c>
      <c r="X53" s="4">
        <v>0</v>
      </c>
      <c r="Y53" s="4">
        <v>0</v>
      </c>
      <c r="Z53" s="4">
        <v>0</v>
      </c>
      <c r="AA53" s="4">
        <v>0</v>
      </c>
      <c r="AB53" s="4">
        <v>0</v>
      </c>
      <c r="AC53" s="4">
        <v>0</v>
      </c>
      <c r="AD53" s="4">
        <v>0</v>
      </c>
      <c r="AE53" s="4">
        <v>0</v>
      </c>
      <c r="AF53" s="4">
        <v>0</v>
      </c>
      <c r="AG53" s="4">
        <v>0</v>
      </c>
      <c r="AH53" s="4">
        <v>0</v>
      </c>
      <c r="AI53" s="4">
        <v>0</v>
      </c>
      <c r="AJ53" s="4">
        <v>0</v>
      </c>
      <c r="AK53" s="4">
        <v>0</v>
      </c>
      <c r="AL53" s="4">
        <v>0</v>
      </c>
      <c r="AM53" s="4">
        <v>0</v>
      </c>
      <c r="AV53" s="1534"/>
    </row>
    <row r="54" spans="1:48">
      <c r="A54" s="32" t="s">
        <v>97</v>
      </c>
      <c r="B54" s="33"/>
      <c r="C54" s="4">
        <f>ROUND((($AF$27*(X36/9))+($AG$27*(X44/9))+($AH$27*(X52/9))+($AF$28*AP36)+($AG$28*AP44)*1),0)</f>
        <v>2524</v>
      </c>
      <c r="D54" s="4">
        <f t="shared" ref="D54:R54" si="45">ROUND((($AF$27*(Y36/9))+($AG$27*(Y44/9))+($AH$27*(Y52/9))+($AF$28*AQ36)+($AG$28*AQ44)*1),0)</f>
        <v>2524</v>
      </c>
      <c r="E54" s="4">
        <f t="shared" si="45"/>
        <v>2524</v>
      </c>
      <c r="F54" s="4">
        <f t="shared" si="45"/>
        <v>2524</v>
      </c>
      <c r="G54" s="4">
        <f t="shared" si="45"/>
        <v>2530</v>
      </c>
      <c r="H54" s="4">
        <f t="shared" si="45"/>
        <v>2541</v>
      </c>
      <c r="I54" s="4">
        <f t="shared" si="45"/>
        <v>2552</v>
      </c>
      <c r="J54" s="4">
        <f t="shared" si="45"/>
        <v>2563</v>
      </c>
      <c r="K54" s="4">
        <f t="shared" si="45"/>
        <v>2575</v>
      </c>
      <c r="L54" s="4">
        <f t="shared" si="45"/>
        <v>2586</v>
      </c>
      <c r="M54" s="4">
        <f t="shared" si="45"/>
        <v>2597</v>
      </c>
      <c r="N54" s="4">
        <f t="shared" si="45"/>
        <v>2608</v>
      </c>
      <c r="O54" s="4">
        <f t="shared" si="45"/>
        <v>2619</v>
      </c>
      <c r="P54" s="4">
        <f t="shared" si="45"/>
        <v>2625</v>
      </c>
      <c r="Q54" s="4">
        <f t="shared" si="45"/>
        <v>2625</v>
      </c>
      <c r="R54" s="4">
        <f t="shared" si="45"/>
        <v>2625</v>
      </c>
      <c r="AV54" s="1534"/>
    </row>
    <row r="55" spans="1:48">
      <c r="Q55" s="34"/>
      <c r="R55" s="34"/>
      <c r="AV55" s="1534"/>
    </row>
  </sheetData>
  <sheetProtection algorithmName="SHA-512" hashValue="a4kuEerfK0iB+ELtLggEEZOCVjzO9SDr85LBQAOjjg0tJvr+iDxRDUOhZLJQXRwzq4l34Tql1l1FllehZt8skQ==" saltValue="YOIp+aUVY2hiyl+wqWuyDA==" spinCount="100000" sheet="1" objects="1" scenarios="1"/>
  <mergeCells count="1">
    <mergeCell ref="AV1:AV1048576"/>
  </mergeCells>
  <pageMargins left="0.2" right="0.2" top="0.2" bottom="0.2" header="0" footer="0"/>
  <pageSetup paperSize="151" scale="1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363FFC"/>
    <pageSetUpPr fitToPage="1"/>
  </sheetPr>
  <dimension ref="A1:BY55"/>
  <sheetViews>
    <sheetView zoomScaleNormal="100" workbookViewId="0"/>
  </sheetViews>
  <sheetFormatPr defaultColWidth="11.42578125" defaultRowHeight="13.5"/>
  <cols>
    <col min="1" max="1" width="12.5703125" style="10" customWidth="1"/>
    <col min="2" max="2" width="7.85546875" style="4" customWidth="1"/>
    <col min="3" max="18" width="9.7109375" style="4" customWidth="1"/>
    <col min="19" max="19" width="11.140625" style="4" hidden="1" customWidth="1"/>
    <col min="20" max="77" width="11.42578125" style="4" hidden="1" customWidth="1"/>
    <col min="78" max="78" width="11.42578125" style="4" customWidth="1"/>
    <col min="79" max="16384" width="11.42578125" style="4"/>
  </cols>
  <sheetData>
    <row r="1" spans="1:76" ht="24.75" thickBot="1">
      <c r="A1" s="36" t="s">
        <v>49</v>
      </c>
      <c r="B1" s="2"/>
      <c r="C1" s="2"/>
      <c r="D1" s="2"/>
      <c r="E1" s="2"/>
      <c r="F1" s="2"/>
      <c r="G1" s="2"/>
      <c r="H1" s="2"/>
      <c r="I1" s="2"/>
      <c r="J1" s="2"/>
      <c r="K1" s="2"/>
      <c r="L1" s="2"/>
      <c r="M1" s="2"/>
      <c r="N1" s="2"/>
      <c r="O1" s="2"/>
      <c r="P1" s="2"/>
      <c r="Q1" s="2"/>
      <c r="R1" s="3"/>
      <c r="T1" s="4" t="s">
        <v>312</v>
      </c>
      <c r="U1" s="1039">
        <v>5546</v>
      </c>
      <c r="V1" s="4">
        <f>ROUND(U1*1.04,0)</f>
        <v>5768</v>
      </c>
      <c r="W1" s="4">
        <f>ROUND(V1*1.04,0)</f>
        <v>5999</v>
      </c>
    </row>
    <row r="2" spans="1:76" ht="20.25" thickTop="1" thickBot="1">
      <c r="A2" s="6" t="s">
        <v>51</v>
      </c>
      <c r="B2" s="7"/>
      <c r="C2" s="39" t="s">
        <v>324</v>
      </c>
      <c r="D2" s="7"/>
      <c r="E2" s="7"/>
      <c r="F2" s="7"/>
      <c r="G2" s="7"/>
      <c r="H2" s="7"/>
      <c r="I2" s="7"/>
      <c r="J2" s="7"/>
      <c r="K2" s="7"/>
      <c r="L2" s="7"/>
      <c r="M2" s="8"/>
      <c r="N2" s="9"/>
      <c r="O2" s="7"/>
      <c r="P2" s="7"/>
      <c r="Q2" s="123"/>
      <c r="R2" s="37"/>
      <c r="T2" s="4" t="s">
        <v>256</v>
      </c>
      <c r="U2" s="1112">
        <v>4730</v>
      </c>
      <c r="V2" s="4">
        <f>ROUND(U2*1.04,0)</f>
        <v>4919</v>
      </c>
      <c r="W2" s="4">
        <f>ROUND(V2*1.04,0)</f>
        <v>5116</v>
      </c>
    </row>
    <row r="4" spans="1:76" ht="15.75">
      <c r="A4" s="11" t="s">
        <v>316</v>
      </c>
      <c r="B4" s="12"/>
      <c r="C4" s="1"/>
      <c r="D4" s="1"/>
      <c r="E4" s="1"/>
      <c r="F4" s="1"/>
      <c r="G4" s="1"/>
      <c r="H4" s="1"/>
      <c r="I4" s="1"/>
      <c r="J4" s="1"/>
      <c r="K4" s="1"/>
      <c r="L4" s="1"/>
      <c r="M4" s="1"/>
      <c r="N4" s="1"/>
      <c r="O4" s="1"/>
      <c r="P4" s="1"/>
      <c r="Q4" s="1"/>
      <c r="R4" s="1"/>
    </row>
    <row r="5" spans="1:76" ht="15.75">
      <c r="A5" s="11"/>
      <c r="B5" s="13" t="s">
        <v>54</v>
      </c>
      <c r="C5" s="1"/>
      <c r="D5" s="1"/>
      <c r="E5" s="1"/>
      <c r="F5" s="1"/>
      <c r="G5" s="1"/>
      <c r="H5" s="1"/>
      <c r="I5" s="1"/>
      <c r="J5" s="1"/>
      <c r="K5" s="1"/>
      <c r="L5" s="1"/>
      <c r="M5" s="1"/>
      <c r="N5" s="1"/>
      <c r="O5" s="1"/>
      <c r="P5" s="1"/>
      <c r="Q5" s="1"/>
      <c r="R5" s="1"/>
      <c r="V5" s="117" t="s">
        <v>53</v>
      </c>
      <c r="W5" s="112">
        <v>0.5</v>
      </c>
      <c r="X5" s="15">
        <f t="shared" ref="X5:AM5" si="0">+(D7-C7)/C7</f>
        <v>1.6828945786753215E-3</v>
      </c>
      <c r="Y5" s="15">
        <f t="shared" si="0"/>
        <v>1.6500660026401055E-3</v>
      </c>
      <c r="Z5" s="15">
        <f t="shared" si="0"/>
        <v>1.6772995477281577E-3</v>
      </c>
      <c r="AA5" s="15">
        <f t="shared" si="0"/>
        <v>1.6445893011990552E-3</v>
      </c>
      <c r="AB5" s="15">
        <f t="shared" si="0"/>
        <v>3.3136306645172846E-3</v>
      </c>
      <c r="AC5" s="15">
        <f t="shared" si="0"/>
        <v>3.3026867803266982E-3</v>
      </c>
      <c r="AD5" s="15">
        <f t="shared" si="0"/>
        <v>3.2918149466192172E-3</v>
      </c>
      <c r="AE5" s="15">
        <f t="shared" si="0"/>
        <v>3.2810144541988119E-3</v>
      </c>
      <c r="AF5" s="15">
        <f t="shared" si="0"/>
        <v>3.270284603146544E-3</v>
      </c>
      <c r="AG5" s="15">
        <f t="shared" si="0"/>
        <v>3.2596247026693685E-3</v>
      </c>
      <c r="AH5" s="15">
        <f t="shared" si="0"/>
        <v>3.249034070951879E-3</v>
      </c>
      <c r="AI5" s="15">
        <f t="shared" si="0"/>
        <v>3.238512035010941E-3</v>
      </c>
      <c r="AJ5" s="15">
        <f t="shared" si="0"/>
        <v>1.6285697667655441E-3</v>
      </c>
      <c r="AK5" s="15">
        <f t="shared" si="0"/>
        <v>1.5968875210498809E-3</v>
      </c>
      <c r="AL5" s="15">
        <f t="shared" si="0"/>
        <v>1.6233295648897005E-3</v>
      </c>
      <c r="AM5" s="15">
        <f t="shared" si="0"/>
        <v>-1</v>
      </c>
      <c r="AN5" s="117" t="s">
        <v>53</v>
      </c>
      <c r="AO5" s="112">
        <f>+W5</f>
        <v>0.5</v>
      </c>
      <c r="AP5" s="15">
        <f t="shared" ref="AP5:BE5" si="1">+AP17+AP7</f>
        <v>3</v>
      </c>
      <c r="AQ5" s="15">
        <f t="shared" si="1"/>
        <v>3</v>
      </c>
      <c r="AR5" s="15">
        <f t="shared" si="1"/>
        <v>3</v>
      </c>
      <c r="AS5" s="15">
        <f t="shared" si="1"/>
        <v>3</v>
      </c>
      <c r="AT5" s="15">
        <f t="shared" si="1"/>
        <v>3</v>
      </c>
      <c r="AU5" s="15">
        <f t="shared" si="1"/>
        <v>3</v>
      </c>
      <c r="AV5" s="15">
        <f t="shared" si="1"/>
        <v>3</v>
      </c>
      <c r="AW5" s="15">
        <f t="shared" si="1"/>
        <v>3</v>
      </c>
      <c r="AX5" s="15">
        <f t="shared" si="1"/>
        <v>3</v>
      </c>
      <c r="AY5" s="15">
        <f t="shared" si="1"/>
        <v>3</v>
      </c>
      <c r="AZ5" s="15">
        <f t="shared" si="1"/>
        <v>3</v>
      </c>
      <c r="BA5" s="15">
        <f t="shared" si="1"/>
        <v>3</v>
      </c>
      <c r="BB5" s="15">
        <f t="shared" si="1"/>
        <v>3</v>
      </c>
      <c r="BC5" s="15">
        <f t="shared" si="1"/>
        <v>3</v>
      </c>
      <c r="BD5" s="15">
        <f t="shared" si="1"/>
        <v>3</v>
      </c>
      <c r="BE5" s="15">
        <f t="shared" si="1"/>
        <v>3</v>
      </c>
      <c r="BG5" s="117" t="s">
        <v>53</v>
      </c>
      <c r="BH5" s="112">
        <v>0.5</v>
      </c>
      <c r="BI5" s="15"/>
      <c r="BJ5" s="15"/>
      <c r="BK5" s="15"/>
      <c r="BL5" s="15"/>
      <c r="BM5" s="15"/>
      <c r="BN5" s="15"/>
      <c r="BO5" s="15"/>
      <c r="BP5" s="15"/>
      <c r="BQ5" s="15"/>
      <c r="BR5" s="15"/>
      <c r="BS5" s="15"/>
      <c r="BT5" s="15"/>
      <c r="BU5" s="15"/>
      <c r="BV5" s="15"/>
      <c r="BW5" s="15"/>
      <c r="BX5" s="15"/>
    </row>
    <row r="6" spans="1:76" ht="14.25">
      <c r="A6" s="16"/>
      <c r="B6" s="17" t="s">
        <v>58</v>
      </c>
      <c r="C6" s="18">
        <f>'GRA 26-60 Matrices'!C12</f>
        <v>44012</v>
      </c>
      <c r="D6" s="18">
        <f>'GRA 26-60 Matrices'!D12</f>
        <v>44027</v>
      </c>
      <c r="E6" s="18">
        <f>'GRA 26-60 Matrices'!E12</f>
        <v>44043</v>
      </c>
      <c r="F6" s="18">
        <f>'GRA 26-60 Matrices'!F12</f>
        <v>44058</v>
      </c>
      <c r="G6" s="18">
        <f>'GRA 26-60 Matrices'!G12</f>
        <v>44074</v>
      </c>
      <c r="H6" s="18">
        <f>'GRA 26-60 Matrices'!H12</f>
        <v>44104</v>
      </c>
      <c r="I6" s="18">
        <f>'GRA 26-60 Matrices'!I12</f>
        <v>44135</v>
      </c>
      <c r="J6" s="18">
        <f>'GRA 26-60 Matrices'!J12</f>
        <v>44165</v>
      </c>
      <c r="K6" s="18">
        <f>'GRA 26-60 Matrices'!K12</f>
        <v>44196</v>
      </c>
      <c r="L6" s="18">
        <f>'GRA 26-60 Matrices'!L12</f>
        <v>44227</v>
      </c>
      <c r="M6" s="18">
        <f>'GRA 26-60 Matrices'!M12</f>
        <v>44255</v>
      </c>
      <c r="N6" s="18">
        <f>'GRA 26-60 Matrices'!N12</f>
        <v>44286</v>
      </c>
      <c r="O6" s="18">
        <f>'GRA 26-60 Matrices'!O12</f>
        <v>44316</v>
      </c>
      <c r="P6" s="18">
        <f>'GRA 26-60 Matrices'!P12</f>
        <v>44331</v>
      </c>
      <c r="Q6" s="18">
        <f>'GRA 26-60 Matrices'!Q12</f>
        <v>44347</v>
      </c>
      <c r="R6" s="18">
        <f>'GRA 26-60 Matrices'!R12</f>
        <v>44362</v>
      </c>
      <c r="V6" s="115" t="s">
        <v>55</v>
      </c>
      <c r="W6" s="115"/>
      <c r="X6" s="19">
        <f t="shared" ref="X6:AM6" si="2">+C6</f>
        <v>44012</v>
      </c>
      <c r="Y6" s="19">
        <f t="shared" si="2"/>
        <v>44027</v>
      </c>
      <c r="Z6" s="19">
        <f t="shared" si="2"/>
        <v>44043</v>
      </c>
      <c r="AA6" s="19">
        <f t="shared" si="2"/>
        <v>44058</v>
      </c>
      <c r="AB6" s="19">
        <f t="shared" si="2"/>
        <v>44074</v>
      </c>
      <c r="AC6" s="19">
        <f t="shared" si="2"/>
        <v>44104</v>
      </c>
      <c r="AD6" s="19">
        <f t="shared" si="2"/>
        <v>44135</v>
      </c>
      <c r="AE6" s="19">
        <f t="shared" si="2"/>
        <v>44165</v>
      </c>
      <c r="AF6" s="19">
        <f t="shared" si="2"/>
        <v>44196</v>
      </c>
      <c r="AG6" s="19">
        <f t="shared" si="2"/>
        <v>44227</v>
      </c>
      <c r="AH6" s="19">
        <f t="shared" si="2"/>
        <v>44255</v>
      </c>
      <c r="AI6" s="19">
        <f t="shared" si="2"/>
        <v>44286</v>
      </c>
      <c r="AJ6" s="19">
        <f t="shared" si="2"/>
        <v>44316</v>
      </c>
      <c r="AK6" s="19">
        <f t="shared" si="2"/>
        <v>44331</v>
      </c>
      <c r="AL6" s="19">
        <f t="shared" si="2"/>
        <v>44347</v>
      </c>
      <c r="AM6" s="19">
        <f t="shared" si="2"/>
        <v>44362</v>
      </c>
      <c r="AN6" s="115" t="s">
        <v>56</v>
      </c>
      <c r="AO6" s="116"/>
      <c r="AP6" s="19">
        <f t="shared" ref="AP6:BE6" si="3">+X6</f>
        <v>44012</v>
      </c>
      <c r="AQ6" s="19">
        <f t="shared" si="3"/>
        <v>44027</v>
      </c>
      <c r="AR6" s="19">
        <f t="shared" si="3"/>
        <v>44043</v>
      </c>
      <c r="AS6" s="19">
        <f t="shared" si="3"/>
        <v>44058</v>
      </c>
      <c r="AT6" s="19">
        <f t="shared" si="3"/>
        <v>44074</v>
      </c>
      <c r="AU6" s="19">
        <f t="shared" si="3"/>
        <v>44104</v>
      </c>
      <c r="AV6" s="19">
        <f t="shared" si="3"/>
        <v>44135</v>
      </c>
      <c r="AW6" s="19">
        <f t="shared" si="3"/>
        <v>44165</v>
      </c>
      <c r="AX6" s="19">
        <f t="shared" si="3"/>
        <v>44196</v>
      </c>
      <c r="AY6" s="19">
        <f t="shared" si="3"/>
        <v>44227</v>
      </c>
      <c r="AZ6" s="19">
        <f t="shared" si="3"/>
        <v>44255</v>
      </c>
      <c r="BA6" s="19">
        <f t="shared" si="3"/>
        <v>44286</v>
      </c>
      <c r="BB6" s="19">
        <f t="shared" si="3"/>
        <v>44316</v>
      </c>
      <c r="BC6" s="19">
        <f t="shared" si="3"/>
        <v>44331</v>
      </c>
      <c r="BD6" s="19">
        <f t="shared" si="3"/>
        <v>44347</v>
      </c>
      <c r="BE6" s="19">
        <f t="shared" si="3"/>
        <v>44362</v>
      </c>
      <c r="BG6" s="118" t="s">
        <v>57</v>
      </c>
      <c r="BH6" s="115"/>
      <c r="BI6" s="19">
        <v>35064</v>
      </c>
      <c r="BJ6" s="19">
        <v>35095</v>
      </c>
      <c r="BK6" s="19">
        <v>35124</v>
      </c>
      <c r="BL6" s="19">
        <v>35155</v>
      </c>
      <c r="BM6" s="19">
        <v>35185</v>
      </c>
      <c r="BN6" s="19">
        <v>35200</v>
      </c>
      <c r="BO6" s="19">
        <v>35216</v>
      </c>
      <c r="BP6" s="19">
        <v>35231</v>
      </c>
      <c r="BQ6" s="19">
        <v>35246</v>
      </c>
      <c r="BR6" s="19">
        <v>35261</v>
      </c>
      <c r="BS6" s="19">
        <v>35277</v>
      </c>
      <c r="BT6" s="19">
        <v>35292</v>
      </c>
      <c r="BU6" s="19">
        <v>35308</v>
      </c>
      <c r="BV6" s="19">
        <v>35338</v>
      </c>
      <c r="BW6" s="19">
        <v>35369</v>
      </c>
      <c r="BX6" s="19">
        <v>35399</v>
      </c>
    </row>
    <row r="7" spans="1:76">
      <c r="A7" s="10" t="s">
        <v>59</v>
      </c>
      <c r="B7" s="4">
        <v>12</v>
      </c>
      <c r="C7" s="4">
        <f t="shared" ref="C7:R7" si="4">ROUND((($U$1*X$7)+($V$1*X$17)+($U$1*AP$7)+($V$1*AP$17)+($W$1*(3-(AP$7+AP$17)))+($W$1*(9-(X$7+X$17))))*$AO$5,0)</f>
        <v>33276</v>
      </c>
      <c r="D7" s="4">
        <f t="shared" si="4"/>
        <v>33332</v>
      </c>
      <c r="E7" s="4">
        <f t="shared" si="4"/>
        <v>33387</v>
      </c>
      <c r="F7" s="4">
        <f t="shared" si="4"/>
        <v>33443</v>
      </c>
      <c r="G7" s="4">
        <f t="shared" si="4"/>
        <v>33498</v>
      </c>
      <c r="H7" s="4">
        <f t="shared" si="4"/>
        <v>33609</v>
      </c>
      <c r="I7" s="4">
        <f t="shared" si="4"/>
        <v>33720</v>
      </c>
      <c r="J7" s="4">
        <f t="shared" si="4"/>
        <v>33831</v>
      </c>
      <c r="K7" s="4">
        <f t="shared" si="4"/>
        <v>33942</v>
      </c>
      <c r="L7" s="4">
        <f t="shared" si="4"/>
        <v>34053</v>
      </c>
      <c r="M7" s="4">
        <f t="shared" si="4"/>
        <v>34164</v>
      </c>
      <c r="N7" s="4">
        <f t="shared" si="4"/>
        <v>34275</v>
      </c>
      <c r="O7" s="4">
        <f t="shared" si="4"/>
        <v>34386</v>
      </c>
      <c r="P7" s="4">
        <f t="shared" si="4"/>
        <v>34442</v>
      </c>
      <c r="Q7" s="4">
        <f t="shared" si="4"/>
        <v>34497</v>
      </c>
      <c r="R7" s="4">
        <f t="shared" si="4"/>
        <v>34553</v>
      </c>
      <c r="V7" s="4" t="s">
        <v>60</v>
      </c>
      <c r="W7" s="4" t="s">
        <v>61</v>
      </c>
      <c r="X7" s="4">
        <v>9</v>
      </c>
      <c r="Y7" s="4">
        <v>9</v>
      </c>
      <c r="Z7" s="4">
        <v>9</v>
      </c>
      <c r="AA7" s="4">
        <v>9</v>
      </c>
      <c r="AB7" s="4">
        <v>8.5</v>
      </c>
      <c r="AC7" s="4">
        <v>7.5</v>
      </c>
      <c r="AD7" s="4">
        <v>6.5</v>
      </c>
      <c r="AE7" s="4">
        <v>5.5</v>
      </c>
      <c r="AF7" s="4">
        <v>4.5</v>
      </c>
      <c r="AG7" s="4">
        <v>3.5</v>
      </c>
      <c r="AH7" s="4">
        <v>2.5</v>
      </c>
      <c r="AI7" s="4">
        <v>1.5</v>
      </c>
      <c r="AJ7" s="4">
        <v>0.5</v>
      </c>
      <c r="AK7" s="4">
        <v>0</v>
      </c>
      <c r="AL7" s="4">
        <v>0</v>
      </c>
      <c r="AM7" s="4">
        <v>0</v>
      </c>
      <c r="AN7" s="4" t="s">
        <v>60</v>
      </c>
      <c r="AO7" s="4" t="s">
        <v>62</v>
      </c>
      <c r="AP7" s="4">
        <v>3</v>
      </c>
      <c r="AQ7" s="4">
        <v>2.5</v>
      </c>
      <c r="AR7" s="4">
        <v>2</v>
      </c>
      <c r="AS7" s="4">
        <v>1.5</v>
      </c>
      <c r="AT7" s="4">
        <v>1.5</v>
      </c>
      <c r="AU7" s="4">
        <v>1.5</v>
      </c>
      <c r="AV7" s="4">
        <v>1.5</v>
      </c>
      <c r="AW7" s="4">
        <v>1.5</v>
      </c>
      <c r="AX7" s="4">
        <v>1.5</v>
      </c>
      <c r="AY7" s="4">
        <v>1.5</v>
      </c>
      <c r="AZ7" s="4">
        <v>1.5</v>
      </c>
      <c r="BA7" s="4">
        <v>1.5</v>
      </c>
      <c r="BB7" s="4">
        <v>1.5</v>
      </c>
      <c r="BC7" s="4">
        <v>1.5</v>
      </c>
      <c r="BD7" s="4">
        <v>1</v>
      </c>
      <c r="BE7" s="4">
        <v>0.5</v>
      </c>
      <c r="BG7" s="4" t="s">
        <v>60</v>
      </c>
      <c r="BH7" s="4" t="s">
        <v>63</v>
      </c>
      <c r="BI7" s="4">
        <f t="shared" ref="BI7:BX7" si="5">9-(X7+X17)</f>
        <v>0</v>
      </c>
      <c r="BJ7" s="4">
        <f t="shared" si="5"/>
        <v>0</v>
      </c>
      <c r="BK7" s="4">
        <f t="shared" si="5"/>
        <v>0</v>
      </c>
      <c r="BL7" s="4">
        <f t="shared" si="5"/>
        <v>0</v>
      </c>
      <c r="BM7" s="4">
        <f t="shared" si="5"/>
        <v>0</v>
      </c>
      <c r="BN7" s="4">
        <f t="shared" si="5"/>
        <v>0</v>
      </c>
      <c r="BO7" s="4">
        <f t="shared" si="5"/>
        <v>0</v>
      </c>
      <c r="BP7" s="4">
        <f t="shared" si="5"/>
        <v>0</v>
      </c>
      <c r="BQ7" s="4">
        <f t="shared" si="5"/>
        <v>0</v>
      </c>
      <c r="BR7" s="4">
        <f t="shared" si="5"/>
        <v>0</v>
      </c>
      <c r="BS7" s="4">
        <f t="shared" si="5"/>
        <v>0</v>
      </c>
      <c r="BT7" s="4">
        <f t="shared" si="5"/>
        <v>0</v>
      </c>
      <c r="BU7" s="4">
        <f t="shared" si="5"/>
        <v>0</v>
      </c>
      <c r="BV7" s="4">
        <f t="shared" si="5"/>
        <v>0</v>
      </c>
      <c r="BW7" s="4">
        <f t="shared" si="5"/>
        <v>0</v>
      </c>
      <c r="BX7" s="4">
        <f t="shared" si="5"/>
        <v>0</v>
      </c>
    </row>
    <row r="8" spans="1:76">
      <c r="A8" s="10" t="s">
        <v>64</v>
      </c>
      <c r="B8" s="4">
        <v>11</v>
      </c>
      <c r="C8" s="4">
        <f t="shared" ref="C8:R8" si="6">ROUND((($U$1*X$8)+($V$1*X$18)+($U$1*AP$8)+($V$1*AP$18)+($W$1*(2-(AP$8+AP$18)))+($W$1*(9-(X$8+X$18))))*$AO$5,0)</f>
        <v>30503</v>
      </c>
      <c r="D8" s="4">
        <f t="shared" si="6"/>
        <v>30503</v>
      </c>
      <c r="E8" s="4">
        <f t="shared" si="6"/>
        <v>30503</v>
      </c>
      <c r="F8" s="4">
        <f t="shared" si="6"/>
        <v>30559</v>
      </c>
      <c r="G8" s="4">
        <f t="shared" si="6"/>
        <v>30614</v>
      </c>
      <c r="H8" s="4">
        <f t="shared" si="6"/>
        <v>30725</v>
      </c>
      <c r="I8" s="4">
        <f t="shared" si="6"/>
        <v>30836</v>
      </c>
      <c r="J8" s="4">
        <f t="shared" si="6"/>
        <v>30947</v>
      </c>
      <c r="K8" s="4">
        <f t="shared" si="6"/>
        <v>31058</v>
      </c>
      <c r="L8" s="4">
        <f t="shared" si="6"/>
        <v>31169</v>
      </c>
      <c r="M8" s="4">
        <f t="shared" si="6"/>
        <v>31280</v>
      </c>
      <c r="N8" s="4">
        <f t="shared" si="6"/>
        <v>31391</v>
      </c>
      <c r="O8" s="4">
        <f t="shared" si="6"/>
        <v>31502</v>
      </c>
      <c r="P8" s="4">
        <f t="shared" si="6"/>
        <v>31558</v>
      </c>
      <c r="Q8" s="4">
        <f t="shared" si="6"/>
        <v>31613</v>
      </c>
      <c r="R8" s="4">
        <f t="shared" si="6"/>
        <v>31669</v>
      </c>
      <c r="V8" s="4" t="s">
        <v>65</v>
      </c>
      <c r="W8" s="4" t="s">
        <v>66</v>
      </c>
      <c r="X8" s="4">
        <v>9</v>
      </c>
      <c r="Y8" s="4">
        <v>9</v>
      </c>
      <c r="Z8" s="4">
        <v>9</v>
      </c>
      <c r="AA8" s="4">
        <v>9</v>
      </c>
      <c r="AB8" s="4">
        <v>8.5</v>
      </c>
      <c r="AC8" s="4">
        <v>7.5</v>
      </c>
      <c r="AD8" s="4">
        <v>6.5</v>
      </c>
      <c r="AE8" s="4">
        <v>5.5</v>
      </c>
      <c r="AF8" s="4">
        <v>4.5</v>
      </c>
      <c r="AG8" s="4">
        <v>3.5</v>
      </c>
      <c r="AH8" s="4">
        <v>2.5</v>
      </c>
      <c r="AI8" s="4">
        <v>1.5</v>
      </c>
      <c r="AJ8" s="4">
        <v>0.5</v>
      </c>
      <c r="AK8" s="4">
        <v>0</v>
      </c>
      <c r="AL8" s="4">
        <v>0</v>
      </c>
      <c r="AM8" s="4">
        <v>0</v>
      </c>
      <c r="AN8" s="4" t="s">
        <v>65</v>
      </c>
      <c r="AO8" s="4" t="s">
        <v>62</v>
      </c>
      <c r="AP8" s="4">
        <v>2</v>
      </c>
      <c r="AQ8" s="4">
        <v>2</v>
      </c>
      <c r="AR8" s="4">
        <v>2</v>
      </c>
      <c r="AS8" s="4">
        <v>1.5</v>
      </c>
      <c r="AT8" s="4">
        <v>1.5</v>
      </c>
      <c r="AU8" s="4">
        <v>1.5</v>
      </c>
      <c r="AV8" s="4">
        <v>1.5</v>
      </c>
      <c r="AW8" s="4">
        <v>1.5</v>
      </c>
      <c r="AX8" s="4">
        <v>1.5</v>
      </c>
      <c r="AY8" s="4">
        <v>1.5</v>
      </c>
      <c r="AZ8" s="4">
        <v>1.5</v>
      </c>
      <c r="BA8" s="4">
        <v>1.5</v>
      </c>
      <c r="BB8" s="4">
        <v>1.5</v>
      </c>
      <c r="BC8" s="4">
        <v>1.5</v>
      </c>
      <c r="BD8" s="4">
        <v>1</v>
      </c>
      <c r="BE8" s="4">
        <v>0.5</v>
      </c>
      <c r="BG8" s="4" t="s">
        <v>65</v>
      </c>
      <c r="BH8" s="4" t="s">
        <v>67</v>
      </c>
      <c r="BI8" s="4">
        <v>9</v>
      </c>
      <c r="BJ8" s="4">
        <v>8</v>
      </c>
      <c r="BK8" s="4">
        <v>7</v>
      </c>
      <c r="BL8" s="4">
        <v>6</v>
      </c>
      <c r="BM8" s="4">
        <v>5</v>
      </c>
      <c r="BN8" s="4">
        <v>4.5</v>
      </c>
      <c r="BO8" s="4">
        <v>4.5</v>
      </c>
      <c r="BP8" s="4">
        <v>4.5</v>
      </c>
      <c r="BQ8" s="4">
        <v>4.5</v>
      </c>
      <c r="BR8" s="4">
        <v>4.5</v>
      </c>
      <c r="BS8" s="4">
        <v>4.5</v>
      </c>
      <c r="BT8" s="4">
        <v>4.5</v>
      </c>
      <c r="BU8" s="4">
        <v>4</v>
      </c>
      <c r="BV8" s="4">
        <v>3</v>
      </c>
      <c r="BW8" s="4">
        <v>2</v>
      </c>
      <c r="BX8" s="4">
        <v>1</v>
      </c>
    </row>
    <row r="9" spans="1:76">
      <c r="A9" s="10" t="s">
        <v>68</v>
      </c>
      <c r="B9" s="4">
        <v>10</v>
      </c>
      <c r="C9" s="4">
        <f>ROUND((($U$1*X$9)+($V$1*X$19)+($U$1*AP$9)+($V$1*AP$19)+($W$1*(1-(AP$9+AP$19)))+($W$1*(9-(X$9+X$19))))*$AO$5,0)</f>
        <v>27730</v>
      </c>
      <c r="D9" s="4">
        <f t="shared" ref="D9:R9" si="7">ROUND((($U$1*Y9)+($V$1*Y19)+($U$1*AQ9)+($V$1*AQ19)+($W$1*(1-(AQ9+AQ19)))+($W$1*(9-(Y9+Y19))))*$AO$5,0)</f>
        <v>27730</v>
      </c>
      <c r="E9" s="4">
        <f t="shared" si="7"/>
        <v>27730</v>
      </c>
      <c r="F9" s="4">
        <f t="shared" si="7"/>
        <v>27730</v>
      </c>
      <c r="G9" s="4">
        <f t="shared" si="7"/>
        <v>27786</v>
      </c>
      <c r="H9" s="4">
        <f t="shared" si="7"/>
        <v>27897</v>
      </c>
      <c r="I9" s="4">
        <f t="shared" si="7"/>
        <v>28008</v>
      </c>
      <c r="J9" s="4">
        <f t="shared" si="7"/>
        <v>28119</v>
      </c>
      <c r="K9" s="4">
        <f t="shared" si="7"/>
        <v>28230</v>
      </c>
      <c r="L9" s="4">
        <f t="shared" si="7"/>
        <v>28341</v>
      </c>
      <c r="M9" s="4">
        <f t="shared" si="7"/>
        <v>28452</v>
      </c>
      <c r="N9" s="4">
        <f t="shared" si="7"/>
        <v>28563</v>
      </c>
      <c r="O9" s="4">
        <f t="shared" si="7"/>
        <v>28674</v>
      </c>
      <c r="P9" s="4">
        <f t="shared" si="7"/>
        <v>28729</v>
      </c>
      <c r="Q9" s="4">
        <f t="shared" si="7"/>
        <v>28729</v>
      </c>
      <c r="R9" s="4">
        <f t="shared" si="7"/>
        <v>28785</v>
      </c>
      <c r="V9" s="4" t="s">
        <v>69</v>
      </c>
      <c r="W9" s="4" t="s">
        <v>66</v>
      </c>
      <c r="X9" s="4">
        <v>9</v>
      </c>
      <c r="Y9" s="4">
        <v>9</v>
      </c>
      <c r="Z9" s="4">
        <v>9</v>
      </c>
      <c r="AA9" s="4">
        <v>9</v>
      </c>
      <c r="AB9" s="4">
        <v>8.5</v>
      </c>
      <c r="AC9" s="4">
        <v>7.5</v>
      </c>
      <c r="AD9" s="4">
        <v>6.5</v>
      </c>
      <c r="AE9" s="4">
        <v>5.5</v>
      </c>
      <c r="AF9" s="4">
        <v>4.5</v>
      </c>
      <c r="AG9" s="4">
        <v>3.5</v>
      </c>
      <c r="AH9" s="4">
        <v>2.5</v>
      </c>
      <c r="AI9" s="4">
        <v>1.5</v>
      </c>
      <c r="AJ9" s="4">
        <v>0.5</v>
      </c>
      <c r="AK9" s="4">
        <v>0</v>
      </c>
      <c r="AL9" s="4">
        <v>0</v>
      </c>
      <c r="AM9" s="4">
        <v>0</v>
      </c>
      <c r="AN9" s="4" t="s">
        <v>69</v>
      </c>
      <c r="AO9" s="4" t="s">
        <v>62</v>
      </c>
      <c r="AP9" s="4">
        <v>1</v>
      </c>
      <c r="AQ9" s="4">
        <v>1</v>
      </c>
      <c r="AR9" s="4">
        <v>1</v>
      </c>
      <c r="AS9" s="4">
        <v>1</v>
      </c>
      <c r="AT9" s="4">
        <v>1</v>
      </c>
      <c r="AU9" s="4">
        <v>1</v>
      </c>
      <c r="AV9" s="4">
        <v>1</v>
      </c>
      <c r="AW9" s="4">
        <v>1</v>
      </c>
      <c r="AX9" s="4">
        <v>1</v>
      </c>
      <c r="AY9" s="4">
        <v>1</v>
      </c>
      <c r="AZ9" s="4">
        <v>1</v>
      </c>
      <c r="BA9" s="4">
        <v>1</v>
      </c>
      <c r="BB9" s="4">
        <v>1</v>
      </c>
      <c r="BC9" s="4">
        <v>1</v>
      </c>
      <c r="BD9" s="4">
        <v>1</v>
      </c>
      <c r="BE9" s="4">
        <v>0.5</v>
      </c>
      <c r="BG9" s="4" t="s">
        <v>69</v>
      </c>
      <c r="BH9" s="4" t="s">
        <v>67</v>
      </c>
      <c r="BI9" s="4">
        <v>9</v>
      </c>
      <c r="BJ9" s="4">
        <v>8</v>
      </c>
      <c r="BK9" s="4">
        <v>7</v>
      </c>
      <c r="BL9" s="4">
        <v>6</v>
      </c>
      <c r="BM9" s="4">
        <v>5</v>
      </c>
      <c r="BN9" s="4">
        <v>4.5</v>
      </c>
      <c r="BO9" s="4">
        <v>4.5</v>
      </c>
      <c r="BP9" s="4">
        <v>4.5</v>
      </c>
      <c r="BQ9" s="4">
        <v>4.5</v>
      </c>
      <c r="BR9" s="4">
        <v>4.5</v>
      </c>
      <c r="BS9" s="4">
        <v>4.5</v>
      </c>
      <c r="BT9" s="4">
        <v>4.5</v>
      </c>
      <c r="BU9" s="4">
        <v>4</v>
      </c>
      <c r="BV9" s="4">
        <v>3</v>
      </c>
      <c r="BW9" s="4">
        <v>2</v>
      </c>
      <c r="BX9" s="4">
        <v>1</v>
      </c>
    </row>
    <row r="10" spans="1:76">
      <c r="A10" s="10" t="s">
        <v>70</v>
      </c>
      <c r="B10" s="4">
        <v>9</v>
      </c>
      <c r="C10" s="4">
        <f>ROUND((($U$1*X$10)+($V$1*X$20)+($U$1*AP$10)+($V$1*AP$20)+($W$1*(0-(AP$10+AP$20)))+($W$1*(9-(X$10+X$20))))*$AO$5,0)</f>
        <v>24957</v>
      </c>
      <c r="D10" s="4">
        <f t="shared" ref="D10:R10" si="8">ROUND((($U$1*Y10)+($V$1*Y20)+($U$1*AQ10)+($V$1*AQ20)+($W$1*(0-(AQ10+AQ20)))+($W$1*(9-(Y10+Y20))))*$AO$5,0)</f>
        <v>24957</v>
      </c>
      <c r="E10" s="4">
        <f t="shared" si="8"/>
        <v>24957</v>
      </c>
      <c r="F10" s="4">
        <f t="shared" si="8"/>
        <v>24957</v>
      </c>
      <c r="G10" s="4">
        <f t="shared" si="8"/>
        <v>25013</v>
      </c>
      <c r="H10" s="4">
        <f t="shared" si="8"/>
        <v>25124</v>
      </c>
      <c r="I10" s="4">
        <f t="shared" si="8"/>
        <v>25235</v>
      </c>
      <c r="J10" s="4">
        <f t="shared" si="8"/>
        <v>25346</v>
      </c>
      <c r="K10" s="4">
        <f t="shared" si="8"/>
        <v>25457</v>
      </c>
      <c r="L10" s="4">
        <f t="shared" si="8"/>
        <v>25568</v>
      </c>
      <c r="M10" s="4">
        <f t="shared" si="8"/>
        <v>25679</v>
      </c>
      <c r="N10" s="4">
        <f t="shared" si="8"/>
        <v>25790</v>
      </c>
      <c r="O10" s="4">
        <f t="shared" si="8"/>
        <v>25901</v>
      </c>
      <c r="P10" s="4">
        <f t="shared" si="8"/>
        <v>25956</v>
      </c>
      <c r="Q10" s="4">
        <f t="shared" si="8"/>
        <v>25956</v>
      </c>
      <c r="R10" s="4">
        <f t="shared" si="8"/>
        <v>25956</v>
      </c>
      <c r="V10" s="4" t="s">
        <v>71</v>
      </c>
      <c r="W10" s="4" t="s">
        <v>66</v>
      </c>
      <c r="X10" s="4">
        <v>9</v>
      </c>
      <c r="Y10" s="4">
        <v>9</v>
      </c>
      <c r="Z10" s="4">
        <v>9</v>
      </c>
      <c r="AA10" s="4">
        <v>9</v>
      </c>
      <c r="AB10" s="4">
        <v>8.5</v>
      </c>
      <c r="AC10" s="4">
        <v>7.5</v>
      </c>
      <c r="AD10" s="4">
        <v>6.5</v>
      </c>
      <c r="AE10" s="4">
        <v>5.5</v>
      </c>
      <c r="AF10" s="4">
        <v>4.5</v>
      </c>
      <c r="AG10" s="4">
        <v>3.5</v>
      </c>
      <c r="AH10" s="4">
        <v>2.5</v>
      </c>
      <c r="AI10" s="4">
        <v>1.5</v>
      </c>
      <c r="AJ10" s="4">
        <v>0.5</v>
      </c>
      <c r="AK10" s="4">
        <v>0</v>
      </c>
      <c r="AL10" s="4">
        <v>0</v>
      </c>
      <c r="AM10" s="4">
        <v>0</v>
      </c>
      <c r="AN10" s="4" t="s">
        <v>71</v>
      </c>
      <c r="AO10" s="4" t="s">
        <v>62</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G10" s="4" t="s">
        <v>71</v>
      </c>
      <c r="BH10" s="4" t="s">
        <v>67</v>
      </c>
      <c r="BI10" s="4">
        <v>9</v>
      </c>
      <c r="BJ10" s="4">
        <v>8</v>
      </c>
      <c r="BK10" s="4">
        <v>7</v>
      </c>
      <c r="BL10" s="4">
        <v>6</v>
      </c>
      <c r="BM10" s="4">
        <v>5</v>
      </c>
      <c r="BN10" s="4">
        <v>4.5</v>
      </c>
      <c r="BO10" s="4">
        <v>4.5</v>
      </c>
      <c r="BP10" s="4">
        <v>4.5</v>
      </c>
      <c r="BQ10" s="4">
        <v>4.5</v>
      </c>
      <c r="BR10" s="4">
        <v>4.5</v>
      </c>
      <c r="BS10" s="4">
        <v>4.5</v>
      </c>
      <c r="BT10" s="4">
        <v>4.5</v>
      </c>
      <c r="BU10" s="4">
        <v>4</v>
      </c>
      <c r="BV10" s="4">
        <v>3</v>
      </c>
      <c r="BW10" s="4">
        <v>2</v>
      </c>
      <c r="BX10" s="4">
        <v>1</v>
      </c>
    </row>
    <row r="11" spans="1:76">
      <c r="A11" s="10" t="s">
        <v>72</v>
      </c>
      <c r="B11" s="4">
        <v>3</v>
      </c>
      <c r="C11" s="4">
        <f>ROUND((($U$1*X$11)+($V$1*X$21)+($U$1*AP$11)+($V$1*AP$21)+($W$1*(3-(AP$11+AP$21)))+($W$1*(0-(X$11+X$21))))*$AO$5,0)</f>
        <v>8319</v>
      </c>
      <c r="D11" s="4">
        <f t="shared" ref="D11:R11" si="9">ROUND((($U$1*Y11)+($V$1*Y21)+($U$1*AQ11)+($V$1*AQ21)+($W$1*(3-(AQ11+AQ21)))+($W$1*(0-(Y11+Y21))))*$AO$5,0)</f>
        <v>8375</v>
      </c>
      <c r="E11" s="4">
        <f t="shared" si="9"/>
        <v>8430</v>
      </c>
      <c r="F11" s="4">
        <f t="shared" si="9"/>
        <v>8486</v>
      </c>
      <c r="G11" s="4">
        <f t="shared" si="9"/>
        <v>8486</v>
      </c>
      <c r="H11" s="4">
        <f t="shared" si="9"/>
        <v>8486</v>
      </c>
      <c r="I11" s="4">
        <f t="shared" si="9"/>
        <v>8486</v>
      </c>
      <c r="J11" s="4">
        <f t="shared" si="9"/>
        <v>8486</v>
      </c>
      <c r="K11" s="4">
        <f t="shared" si="9"/>
        <v>8486</v>
      </c>
      <c r="L11" s="4">
        <f t="shared" si="9"/>
        <v>8486</v>
      </c>
      <c r="M11" s="4">
        <f t="shared" si="9"/>
        <v>8486</v>
      </c>
      <c r="N11" s="4">
        <f t="shared" si="9"/>
        <v>8486</v>
      </c>
      <c r="O11" s="4">
        <f t="shared" si="9"/>
        <v>8486</v>
      </c>
      <c r="P11" s="4">
        <f t="shared" si="9"/>
        <v>8486</v>
      </c>
      <c r="Q11" s="4">
        <f t="shared" si="9"/>
        <v>8541</v>
      </c>
      <c r="R11" s="4">
        <f t="shared" si="9"/>
        <v>8597</v>
      </c>
      <c r="V11" s="4" t="s">
        <v>73</v>
      </c>
      <c r="W11" s="4" t="s">
        <v>62</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t="s">
        <v>73</v>
      </c>
      <c r="AO11" s="4" t="s">
        <v>62</v>
      </c>
      <c r="AP11" s="4">
        <v>3</v>
      </c>
      <c r="AQ11" s="4">
        <v>2.5</v>
      </c>
      <c r="AR11" s="4">
        <v>2</v>
      </c>
      <c r="AS11" s="4">
        <v>1.5</v>
      </c>
      <c r="AT11" s="4">
        <v>1.5</v>
      </c>
      <c r="AU11" s="4">
        <v>1.5</v>
      </c>
      <c r="AV11" s="4">
        <v>1.5</v>
      </c>
      <c r="AW11" s="4">
        <v>1.5</v>
      </c>
      <c r="AX11" s="4">
        <v>1.5</v>
      </c>
      <c r="AY11" s="4">
        <v>1.5</v>
      </c>
      <c r="AZ11" s="4">
        <v>1.5</v>
      </c>
      <c r="BA11" s="4">
        <v>1.5</v>
      </c>
      <c r="BB11" s="4">
        <v>1.5</v>
      </c>
      <c r="BC11" s="4">
        <v>1.5</v>
      </c>
      <c r="BD11" s="4">
        <v>1</v>
      </c>
      <c r="BE11" s="4">
        <v>0.5</v>
      </c>
      <c r="BG11" s="4" t="s">
        <v>73</v>
      </c>
      <c r="BH11" s="4" t="s">
        <v>74</v>
      </c>
      <c r="BI11" s="4">
        <v>0</v>
      </c>
      <c r="BJ11" s="4">
        <v>0</v>
      </c>
      <c r="BK11" s="4">
        <v>0</v>
      </c>
      <c r="BL11" s="4">
        <v>0</v>
      </c>
      <c r="BM11" s="4">
        <v>0</v>
      </c>
      <c r="BN11" s="4">
        <v>0</v>
      </c>
      <c r="BO11" s="4">
        <v>0</v>
      </c>
      <c r="BP11" s="4">
        <v>0</v>
      </c>
      <c r="BQ11" s="4">
        <v>0</v>
      </c>
      <c r="BR11" s="4">
        <v>0</v>
      </c>
      <c r="BS11" s="4">
        <v>0</v>
      </c>
      <c r="BT11" s="4">
        <v>0</v>
      </c>
      <c r="BU11" s="4">
        <v>0</v>
      </c>
      <c r="BV11" s="4">
        <v>0</v>
      </c>
      <c r="BW11" s="4">
        <v>0</v>
      </c>
      <c r="BX11" s="4">
        <v>0</v>
      </c>
    </row>
    <row r="12" spans="1:76">
      <c r="A12" s="10" t="s">
        <v>75</v>
      </c>
      <c r="B12" s="4">
        <v>2</v>
      </c>
      <c r="C12" s="4">
        <f>ROUND((($U$1*X$12)+($V$1*X$22)+($U$1*AP$12)+($V$1*AP$22)+($W$1*(2-(AP$12+AP$22)))+($W$1*(0-(X$12+X$22))))*$AO$5,0)</f>
        <v>5546</v>
      </c>
      <c r="D12" s="4">
        <f t="shared" ref="D12:R12" si="10">ROUND((($U$1*Y12)+($V$1*Y22)+($U$1*AQ12)+($V$1*AQ22)+($W$1*(2-(AQ12+AQ22)))+($W$1*(0-(Y12+Y22))))*$AO$5,0)</f>
        <v>5546</v>
      </c>
      <c r="E12" s="4">
        <f t="shared" si="10"/>
        <v>5546</v>
      </c>
      <c r="F12" s="4">
        <f t="shared" si="10"/>
        <v>5602</v>
      </c>
      <c r="G12" s="4">
        <f t="shared" si="10"/>
        <v>5602</v>
      </c>
      <c r="H12" s="4">
        <f t="shared" si="10"/>
        <v>5602</v>
      </c>
      <c r="I12" s="4">
        <f t="shared" si="10"/>
        <v>5602</v>
      </c>
      <c r="J12" s="4">
        <f t="shared" si="10"/>
        <v>5602</v>
      </c>
      <c r="K12" s="4">
        <f t="shared" si="10"/>
        <v>5602</v>
      </c>
      <c r="L12" s="4">
        <f t="shared" si="10"/>
        <v>5602</v>
      </c>
      <c r="M12" s="4">
        <f t="shared" si="10"/>
        <v>5602</v>
      </c>
      <c r="N12" s="4">
        <f t="shared" si="10"/>
        <v>5602</v>
      </c>
      <c r="O12" s="4">
        <f t="shared" si="10"/>
        <v>5602</v>
      </c>
      <c r="P12" s="4">
        <f t="shared" si="10"/>
        <v>5602</v>
      </c>
      <c r="Q12" s="4">
        <f t="shared" si="10"/>
        <v>5657</v>
      </c>
      <c r="R12" s="4">
        <f t="shared" si="10"/>
        <v>5713</v>
      </c>
      <c r="V12" s="4" t="s">
        <v>76</v>
      </c>
      <c r="W12" s="4" t="s">
        <v>62</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t="s">
        <v>76</v>
      </c>
      <c r="AO12" s="4" t="s">
        <v>62</v>
      </c>
      <c r="AP12" s="4">
        <v>2</v>
      </c>
      <c r="AQ12" s="4">
        <v>2</v>
      </c>
      <c r="AR12" s="4">
        <v>2</v>
      </c>
      <c r="AS12" s="4">
        <v>1.5</v>
      </c>
      <c r="AT12" s="4">
        <v>1.5</v>
      </c>
      <c r="AU12" s="4">
        <v>1.5</v>
      </c>
      <c r="AV12" s="4">
        <v>1.5</v>
      </c>
      <c r="AW12" s="4">
        <v>1.5</v>
      </c>
      <c r="AX12" s="4">
        <v>1.5</v>
      </c>
      <c r="AY12" s="4">
        <v>1.5</v>
      </c>
      <c r="AZ12" s="4">
        <v>1.5</v>
      </c>
      <c r="BA12" s="4">
        <v>1.5</v>
      </c>
      <c r="BB12" s="4">
        <v>1.5</v>
      </c>
      <c r="BC12" s="4">
        <v>1.5</v>
      </c>
      <c r="BD12" s="4">
        <v>1</v>
      </c>
      <c r="BE12" s="4">
        <v>0.5</v>
      </c>
      <c r="BG12" s="4" t="s">
        <v>76</v>
      </c>
      <c r="BH12" s="4" t="s">
        <v>74</v>
      </c>
      <c r="BI12" s="4">
        <v>0</v>
      </c>
      <c r="BJ12" s="4">
        <v>0</v>
      </c>
      <c r="BK12" s="4">
        <v>0</v>
      </c>
      <c r="BL12" s="4">
        <v>0</v>
      </c>
      <c r="BM12" s="4">
        <v>0</v>
      </c>
      <c r="BN12" s="4">
        <v>0</v>
      </c>
      <c r="BO12" s="4">
        <v>0</v>
      </c>
      <c r="BP12" s="4">
        <v>0</v>
      </c>
      <c r="BQ12" s="4">
        <v>0</v>
      </c>
      <c r="BR12" s="4">
        <v>0</v>
      </c>
      <c r="BS12" s="4">
        <v>0</v>
      </c>
      <c r="BT12" s="4">
        <v>0</v>
      </c>
      <c r="BU12" s="4">
        <v>0</v>
      </c>
      <c r="BV12" s="4">
        <v>0</v>
      </c>
      <c r="BW12" s="4">
        <v>0</v>
      </c>
      <c r="BX12" s="4">
        <v>0</v>
      </c>
    </row>
    <row r="13" spans="1:76">
      <c r="A13" s="10" t="s">
        <v>77</v>
      </c>
      <c r="B13" s="4">
        <v>1</v>
      </c>
      <c r="C13" s="4">
        <f>ROUND((($U$1*X$13)+($V$1*X$23)+($U$1*AP$13)+($V$1*AP$23)+($W$1*(1-(AP$13+AP$23)))+($W$1*(0-(X$13+X$23))))*$AO$5,0)</f>
        <v>2773</v>
      </c>
      <c r="D13" s="4">
        <f t="shared" ref="D13:R13" si="11">ROUND((($U$1*Y13)+($V$1*Y23)+($U$1*AQ13)+($V$1*AQ23)+($W$1*(1-(AQ13+AQ23)))+($W$1*(0-(Y13+Y23))))*$AO$5,0)</f>
        <v>2773</v>
      </c>
      <c r="E13" s="4">
        <f t="shared" si="11"/>
        <v>2773</v>
      </c>
      <c r="F13" s="4">
        <f t="shared" si="11"/>
        <v>2773</v>
      </c>
      <c r="G13" s="4">
        <f t="shared" si="11"/>
        <v>2773</v>
      </c>
      <c r="H13" s="4">
        <f t="shared" si="11"/>
        <v>2773</v>
      </c>
      <c r="I13" s="4">
        <f t="shared" si="11"/>
        <v>2773</v>
      </c>
      <c r="J13" s="4">
        <f t="shared" si="11"/>
        <v>2773</v>
      </c>
      <c r="K13" s="4">
        <f t="shared" si="11"/>
        <v>2773</v>
      </c>
      <c r="L13" s="4">
        <f t="shared" si="11"/>
        <v>2773</v>
      </c>
      <c r="M13" s="4">
        <f t="shared" si="11"/>
        <v>2773</v>
      </c>
      <c r="N13" s="4">
        <f t="shared" si="11"/>
        <v>2773</v>
      </c>
      <c r="O13" s="4">
        <f t="shared" si="11"/>
        <v>2773</v>
      </c>
      <c r="P13" s="4">
        <f t="shared" si="11"/>
        <v>2773</v>
      </c>
      <c r="Q13" s="4">
        <f t="shared" si="11"/>
        <v>2773</v>
      </c>
      <c r="R13" s="4">
        <f t="shared" si="11"/>
        <v>2829</v>
      </c>
      <c r="V13" s="4" t="s">
        <v>78</v>
      </c>
      <c r="W13" s="4" t="s">
        <v>62</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t="s">
        <v>78</v>
      </c>
      <c r="AO13" s="4" t="s">
        <v>62</v>
      </c>
      <c r="AP13" s="4">
        <v>1</v>
      </c>
      <c r="AQ13" s="4">
        <v>1</v>
      </c>
      <c r="AR13" s="4">
        <v>1</v>
      </c>
      <c r="AS13" s="4">
        <v>1</v>
      </c>
      <c r="AT13" s="4">
        <v>1</v>
      </c>
      <c r="AU13" s="4">
        <v>1</v>
      </c>
      <c r="AV13" s="4">
        <v>1</v>
      </c>
      <c r="AW13" s="4">
        <v>1</v>
      </c>
      <c r="AX13" s="4">
        <v>1</v>
      </c>
      <c r="AY13" s="4">
        <v>1</v>
      </c>
      <c r="AZ13" s="4">
        <v>1</v>
      </c>
      <c r="BA13" s="4">
        <v>1</v>
      </c>
      <c r="BB13" s="4">
        <v>1</v>
      </c>
      <c r="BC13" s="4">
        <v>1</v>
      </c>
      <c r="BD13" s="4">
        <v>1</v>
      </c>
      <c r="BE13" s="4">
        <v>0.5</v>
      </c>
      <c r="BG13" s="4" t="s">
        <v>78</v>
      </c>
      <c r="BH13" s="4" t="s">
        <v>74</v>
      </c>
      <c r="BI13" s="4">
        <v>0</v>
      </c>
      <c r="BJ13" s="4">
        <v>0</v>
      </c>
      <c r="BK13" s="4">
        <v>0</v>
      </c>
      <c r="BL13" s="4">
        <v>0</v>
      </c>
      <c r="BM13" s="4">
        <v>0</v>
      </c>
      <c r="BN13" s="4">
        <v>0</v>
      </c>
      <c r="BO13" s="4">
        <v>0</v>
      </c>
      <c r="BP13" s="4">
        <v>0</v>
      </c>
      <c r="BQ13" s="4">
        <v>0</v>
      </c>
      <c r="BR13" s="4">
        <v>0</v>
      </c>
      <c r="BS13" s="4">
        <v>0</v>
      </c>
      <c r="BT13" s="4">
        <v>0</v>
      </c>
      <c r="BU13" s="4">
        <v>0</v>
      </c>
      <c r="BV13" s="4">
        <v>0</v>
      </c>
      <c r="BW13" s="4">
        <v>0</v>
      </c>
      <c r="BX13" s="4">
        <v>0</v>
      </c>
    </row>
    <row r="14" spans="1:76">
      <c r="V14" s="117" t="s">
        <v>53</v>
      </c>
      <c r="W14" s="112">
        <f>+W5</f>
        <v>0.5</v>
      </c>
      <c r="AN14" s="117" t="s">
        <v>53</v>
      </c>
      <c r="AO14" s="112">
        <f>+W5</f>
        <v>0.5</v>
      </c>
    </row>
    <row r="15" spans="1:76" ht="16.5">
      <c r="A15" s="11" t="s">
        <v>269</v>
      </c>
      <c r="B15" s="12"/>
      <c r="C15" s="1"/>
      <c r="D15" s="1"/>
      <c r="E15" s="1"/>
      <c r="F15" s="1"/>
      <c r="G15" s="1"/>
      <c r="H15" s="1"/>
      <c r="I15" s="1"/>
      <c r="J15" s="1"/>
      <c r="K15" s="1"/>
      <c r="L15" s="1"/>
      <c r="M15" s="1"/>
      <c r="N15" s="1"/>
      <c r="O15" s="1"/>
      <c r="P15" s="1"/>
      <c r="Q15" s="1"/>
      <c r="R15" s="1"/>
      <c r="V15" s="118" t="s">
        <v>79</v>
      </c>
      <c r="W15" s="115"/>
      <c r="X15" s="110">
        <f t="shared" ref="X15:AM15" si="12">+C17</f>
        <v>44012</v>
      </c>
      <c r="Y15" s="110">
        <f t="shared" si="12"/>
        <v>44027</v>
      </c>
      <c r="Z15" s="110">
        <f t="shared" si="12"/>
        <v>44043</v>
      </c>
      <c r="AA15" s="110">
        <f t="shared" si="12"/>
        <v>44058</v>
      </c>
      <c r="AB15" s="110">
        <f t="shared" si="12"/>
        <v>44074</v>
      </c>
      <c r="AC15" s="110">
        <f t="shared" si="12"/>
        <v>44104</v>
      </c>
      <c r="AD15" s="110">
        <f t="shared" si="12"/>
        <v>44135</v>
      </c>
      <c r="AE15" s="110">
        <f t="shared" si="12"/>
        <v>44165</v>
      </c>
      <c r="AF15" s="110">
        <f t="shared" si="12"/>
        <v>44196</v>
      </c>
      <c r="AG15" s="110">
        <f t="shared" si="12"/>
        <v>44227</v>
      </c>
      <c r="AH15" s="110">
        <f t="shared" si="12"/>
        <v>44255</v>
      </c>
      <c r="AI15" s="110">
        <f t="shared" si="12"/>
        <v>44286</v>
      </c>
      <c r="AJ15" s="110">
        <f t="shared" si="12"/>
        <v>44316</v>
      </c>
      <c r="AK15" s="110">
        <f t="shared" si="12"/>
        <v>44331</v>
      </c>
      <c r="AL15" s="110">
        <f t="shared" si="12"/>
        <v>44347</v>
      </c>
      <c r="AM15" s="110">
        <f t="shared" si="12"/>
        <v>44362</v>
      </c>
      <c r="AN15" s="110"/>
      <c r="AO15" s="115"/>
      <c r="AP15" s="110">
        <f t="shared" ref="AP15:BE15" si="13">+X15</f>
        <v>44012</v>
      </c>
      <c r="AQ15" s="110">
        <f t="shared" si="13"/>
        <v>44027</v>
      </c>
      <c r="AR15" s="110">
        <f t="shared" si="13"/>
        <v>44043</v>
      </c>
      <c r="AS15" s="110">
        <f t="shared" si="13"/>
        <v>44058</v>
      </c>
      <c r="AT15" s="110">
        <f t="shared" si="13"/>
        <v>44074</v>
      </c>
      <c r="AU15" s="110">
        <f t="shared" si="13"/>
        <v>44104</v>
      </c>
      <c r="AV15" s="110">
        <f t="shared" si="13"/>
        <v>44135</v>
      </c>
      <c r="AW15" s="110">
        <f t="shared" si="13"/>
        <v>44165</v>
      </c>
      <c r="AX15" s="110">
        <f t="shared" si="13"/>
        <v>44196</v>
      </c>
      <c r="AY15" s="110">
        <f t="shared" si="13"/>
        <v>44227</v>
      </c>
      <c r="AZ15" s="110">
        <f t="shared" si="13"/>
        <v>44255</v>
      </c>
      <c r="BA15" s="110">
        <f t="shared" si="13"/>
        <v>44286</v>
      </c>
      <c r="BB15" s="110">
        <f t="shared" si="13"/>
        <v>44316</v>
      </c>
      <c r="BC15" s="110">
        <f t="shared" si="13"/>
        <v>44331</v>
      </c>
      <c r="BD15" s="110">
        <f t="shared" si="13"/>
        <v>44347</v>
      </c>
      <c r="BE15" s="110">
        <f t="shared" si="13"/>
        <v>44362</v>
      </c>
    </row>
    <row r="16" spans="1:76" ht="15.75">
      <c r="A16" s="11"/>
      <c r="B16" s="13" t="s">
        <v>54</v>
      </c>
      <c r="C16" s="1"/>
      <c r="D16" s="1"/>
      <c r="E16" s="1"/>
      <c r="F16" s="1"/>
      <c r="G16" s="1"/>
      <c r="H16" s="1"/>
      <c r="I16" s="1"/>
      <c r="J16" s="1"/>
      <c r="K16" s="1"/>
      <c r="L16" s="1"/>
      <c r="M16" s="1"/>
      <c r="N16" s="1"/>
      <c r="O16" s="1"/>
      <c r="P16" s="1"/>
      <c r="Q16" s="1"/>
      <c r="R16" s="1"/>
      <c r="X16" s="20"/>
      <c r="Y16" s="20"/>
      <c r="Z16" s="20"/>
      <c r="AA16" s="20"/>
      <c r="AB16" s="20"/>
      <c r="AC16" s="20"/>
      <c r="AD16" s="20"/>
      <c r="AE16" s="20"/>
      <c r="AF16" s="20"/>
      <c r="AG16" s="20"/>
      <c r="AH16" s="20"/>
      <c r="AI16" s="20"/>
      <c r="AJ16" s="20"/>
      <c r="AK16" s="20"/>
      <c r="AL16" s="20"/>
      <c r="AM16" s="20"/>
      <c r="AN16" s="20"/>
      <c r="AP16" s="20"/>
      <c r="AQ16" s="20"/>
      <c r="AR16" s="20"/>
      <c r="AS16" s="20"/>
      <c r="AT16" s="20"/>
      <c r="AU16" s="20"/>
      <c r="AV16" s="20"/>
      <c r="AW16" s="20"/>
      <c r="AX16" s="20"/>
      <c r="AY16" s="20"/>
      <c r="AZ16" s="20"/>
      <c r="BA16" s="20"/>
      <c r="BB16" s="20"/>
      <c r="BC16" s="20"/>
      <c r="BD16" s="20"/>
      <c r="BE16" s="20"/>
    </row>
    <row r="17" spans="1:57">
      <c r="A17" s="16"/>
      <c r="B17" s="17" t="s">
        <v>58</v>
      </c>
      <c r="C17" s="18">
        <f t="shared" ref="C17:R17" si="14">+C6</f>
        <v>44012</v>
      </c>
      <c r="D17" s="18">
        <f t="shared" si="14"/>
        <v>44027</v>
      </c>
      <c r="E17" s="18">
        <f t="shared" si="14"/>
        <v>44043</v>
      </c>
      <c r="F17" s="18">
        <f t="shared" si="14"/>
        <v>44058</v>
      </c>
      <c r="G17" s="18">
        <f t="shared" si="14"/>
        <v>44074</v>
      </c>
      <c r="H17" s="18">
        <f t="shared" si="14"/>
        <v>44104</v>
      </c>
      <c r="I17" s="18">
        <f t="shared" si="14"/>
        <v>44135</v>
      </c>
      <c r="J17" s="18">
        <f t="shared" si="14"/>
        <v>44165</v>
      </c>
      <c r="K17" s="18">
        <f t="shared" si="14"/>
        <v>44196</v>
      </c>
      <c r="L17" s="18">
        <f t="shared" si="14"/>
        <v>44227</v>
      </c>
      <c r="M17" s="18">
        <f t="shared" si="14"/>
        <v>44255</v>
      </c>
      <c r="N17" s="18">
        <f t="shared" si="14"/>
        <v>44286</v>
      </c>
      <c r="O17" s="18">
        <f t="shared" si="14"/>
        <v>44316</v>
      </c>
      <c r="P17" s="18">
        <f t="shared" si="14"/>
        <v>44331</v>
      </c>
      <c r="Q17" s="18">
        <f t="shared" si="14"/>
        <v>44347</v>
      </c>
      <c r="R17" s="18">
        <f t="shared" si="14"/>
        <v>44362</v>
      </c>
      <c r="V17" s="4" t="s">
        <v>60</v>
      </c>
      <c r="W17" s="4" t="s">
        <v>63</v>
      </c>
      <c r="X17" s="4">
        <v>0</v>
      </c>
      <c r="Y17" s="4">
        <v>0</v>
      </c>
      <c r="Z17" s="4">
        <v>0</v>
      </c>
      <c r="AA17" s="4">
        <v>0</v>
      </c>
      <c r="AB17" s="4">
        <v>0.5</v>
      </c>
      <c r="AC17" s="4">
        <v>1.5</v>
      </c>
      <c r="AD17" s="4">
        <v>2.5</v>
      </c>
      <c r="AE17" s="4">
        <v>3.5</v>
      </c>
      <c r="AF17" s="4">
        <v>4.5</v>
      </c>
      <c r="AG17" s="4">
        <v>5.5</v>
      </c>
      <c r="AH17" s="4">
        <v>6.5</v>
      </c>
      <c r="AI17" s="4">
        <v>7.5</v>
      </c>
      <c r="AJ17" s="4">
        <v>8.5</v>
      </c>
      <c r="AK17" s="4">
        <v>9</v>
      </c>
      <c r="AL17" s="4">
        <v>9</v>
      </c>
      <c r="AM17" s="4">
        <v>9</v>
      </c>
      <c r="AN17" s="4" t="s">
        <v>60</v>
      </c>
      <c r="AO17" s="4" t="s">
        <v>74</v>
      </c>
      <c r="AP17" s="4">
        <f t="shared" ref="AP17:BE17" si="15">3-AP7</f>
        <v>0</v>
      </c>
      <c r="AQ17" s="4">
        <f t="shared" si="15"/>
        <v>0.5</v>
      </c>
      <c r="AR17" s="4">
        <f t="shared" si="15"/>
        <v>1</v>
      </c>
      <c r="AS17" s="4">
        <f t="shared" si="15"/>
        <v>1.5</v>
      </c>
      <c r="AT17" s="4">
        <f t="shared" si="15"/>
        <v>1.5</v>
      </c>
      <c r="AU17" s="4">
        <f t="shared" si="15"/>
        <v>1.5</v>
      </c>
      <c r="AV17" s="4">
        <f t="shared" si="15"/>
        <v>1.5</v>
      </c>
      <c r="AW17" s="4">
        <f t="shared" si="15"/>
        <v>1.5</v>
      </c>
      <c r="AX17" s="4">
        <f t="shared" si="15"/>
        <v>1.5</v>
      </c>
      <c r="AY17" s="4">
        <f t="shared" si="15"/>
        <v>1.5</v>
      </c>
      <c r="AZ17" s="4">
        <f t="shared" si="15"/>
        <v>1.5</v>
      </c>
      <c r="BA17" s="4">
        <f t="shared" si="15"/>
        <v>1.5</v>
      </c>
      <c r="BB17" s="4">
        <f t="shared" si="15"/>
        <v>1.5</v>
      </c>
      <c r="BC17" s="4">
        <f t="shared" si="15"/>
        <v>1.5</v>
      </c>
      <c r="BD17" s="4">
        <f t="shared" si="15"/>
        <v>2</v>
      </c>
      <c r="BE17" s="4">
        <f t="shared" si="15"/>
        <v>2.5</v>
      </c>
    </row>
    <row r="18" spans="1:57">
      <c r="A18" s="10" t="s">
        <v>59</v>
      </c>
      <c r="B18" s="4">
        <v>12</v>
      </c>
      <c r="C18" s="4">
        <f t="shared" ref="C18:R18" si="16">ROUND((($U$2*X$7)+($V$2*X$17)+($U$2*AP$7)+($V$2*AP$17)+($W$2*(3-(AP$7+AP$17)))+($W$2*(9-(X$7+X$17))))*$AO$5,0)</f>
        <v>28380</v>
      </c>
      <c r="D18" s="4">
        <f t="shared" si="16"/>
        <v>28427</v>
      </c>
      <c r="E18" s="4">
        <f t="shared" si="16"/>
        <v>28475</v>
      </c>
      <c r="F18" s="4">
        <f t="shared" si="16"/>
        <v>28522</v>
      </c>
      <c r="G18" s="4">
        <f t="shared" si="16"/>
        <v>28569</v>
      </c>
      <c r="H18" s="4">
        <f t="shared" si="16"/>
        <v>28664</v>
      </c>
      <c r="I18" s="4">
        <f t="shared" si="16"/>
        <v>28758</v>
      </c>
      <c r="J18" s="4">
        <f t="shared" si="16"/>
        <v>28853</v>
      </c>
      <c r="K18" s="4">
        <f t="shared" si="16"/>
        <v>28947</v>
      </c>
      <c r="L18" s="4">
        <f t="shared" si="16"/>
        <v>29042</v>
      </c>
      <c r="M18" s="4">
        <f t="shared" si="16"/>
        <v>29136</v>
      </c>
      <c r="N18" s="4">
        <f t="shared" si="16"/>
        <v>29231</v>
      </c>
      <c r="O18" s="4">
        <f t="shared" si="16"/>
        <v>29325</v>
      </c>
      <c r="P18" s="4">
        <f t="shared" si="16"/>
        <v>29372</v>
      </c>
      <c r="Q18" s="4">
        <f t="shared" si="16"/>
        <v>29420</v>
      </c>
      <c r="R18" s="4">
        <f t="shared" si="16"/>
        <v>29467</v>
      </c>
      <c r="V18" s="4" t="s">
        <v>65</v>
      </c>
      <c r="W18" s="4" t="s">
        <v>67</v>
      </c>
      <c r="X18" s="4">
        <v>0</v>
      </c>
      <c r="Y18" s="4">
        <v>0</v>
      </c>
      <c r="Z18" s="4">
        <v>0</v>
      </c>
      <c r="AA18" s="4">
        <v>0</v>
      </c>
      <c r="AB18" s="4">
        <v>0.5</v>
      </c>
      <c r="AC18" s="4">
        <v>1.5</v>
      </c>
      <c r="AD18" s="4">
        <v>2.5</v>
      </c>
      <c r="AE18" s="4">
        <v>3.5</v>
      </c>
      <c r="AF18" s="4">
        <v>4.5</v>
      </c>
      <c r="AG18" s="4">
        <v>5.5</v>
      </c>
      <c r="AH18" s="4">
        <v>6.5</v>
      </c>
      <c r="AI18" s="4">
        <v>7.5</v>
      </c>
      <c r="AJ18" s="4">
        <v>8.5</v>
      </c>
      <c r="AK18" s="4">
        <v>9</v>
      </c>
      <c r="AL18" s="4">
        <v>9</v>
      </c>
      <c r="AM18" s="4">
        <v>9</v>
      </c>
      <c r="AN18" s="4" t="s">
        <v>65</v>
      </c>
      <c r="AO18" s="4" t="s">
        <v>74</v>
      </c>
      <c r="AP18" s="4">
        <f t="shared" ref="AP18:BE18" si="17">2-AP8</f>
        <v>0</v>
      </c>
      <c r="AQ18" s="4">
        <f t="shared" si="17"/>
        <v>0</v>
      </c>
      <c r="AR18" s="4">
        <f t="shared" si="17"/>
        <v>0</v>
      </c>
      <c r="AS18" s="4">
        <f t="shared" si="17"/>
        <v>0.5</v>
      </c>
      <c r="AT18" s="4">
        <f t="shared" si="17"/>
        <v>0.5</v>
      </c>
      <c r="AU18" s="4">
        <f t="shared" si="17"/>
        <v>0.5</v>
      </c>
      <c r="AV18" s="4">
        <f t="shared" si="17"/>
        <v>0.5</v>
      </c>
      <c r="AW18" s="4">
        <f t="shared" si="17"/>
        <v>0.5</v>
      </c>
      <c r="AX18" s="4">
        <f t="shared" si="17"/>
        <v>0.5</v>
      </c>
      <c r="AY18" s="4">
        <f t="shared" si="17"/>
        <v>0.5</v>
      </c>
      <c r="AZ18" s="4">
        <f t="shared" si="17"/>
        <v>0.5</v>
      </c>
      <c r="BA18" s="4">
        <f t="shared" si="17"/>
        <v>0.5</v>
      </c>
      <c r="BB18" s="4">
        <f t="shared" si="17"/>
        <v>0.5</v>
      </c>
      <c r="BC18" s="4">
        <f t="shared" si="17"/>
        <v>0.5</v>
      </c>
      <c r="BD18" s="4">
        <f t="shared" si="17"/>
        <v>1</v>
      </c>
      <c r="BE18" s="4">
        <f t="shared" si="17"/>
        <v>1.5</v>
      </c>
    </row>
    <row r="19" spans="1:57">
      <c r="A19" s="10" t="s">
        <v>64</v>
      </c>
      <c r="B19" s="4">
        <v>11</v>
      </c>
      <c r="C19" s="4">
        <f t="shared" ref="C19:R19" si="18">ROUND((($U$2*X$8)+($V$2*X$18)+($U$2*AP$8)+($V$2*AP$18)+($W$2*(2-(AP$8+AP$18)))+($W$2*(9-(X$8+X$18))))*$AO$5,0)</f>
        <v>26015</v>
      </c>
      <c r="D19" s="4">
        <f t="shared" si="18"/>
        <v>26015</v>
      </c>
      <c r="E19" s="4">
        <f t="shared" si="18"/>
        <v>26015</v>
      </c>
      <c r="F19" s="4">
        <f t="shared" si="18"/>
        <v>26062</v>
      </c>
      <c r="G19" s="4">
        <f t="shared" si="18"/>
        <v>26110</v>
      </c>
      <c r="H19" s="4">
        <f t="shared" si="18"/>
        <v>26204</v>
      </c>
      <c r="I19" s="4">
        <f t="shared" si="18"/>
        <v>26299</v>
      </c>
      <c r="J19" s="4">
        <f t="shared" si="18"/>
        <v>26393</v>
      </c>
      <c r="K19" s="4">
        <f t="shared" si="18"/>
        <v>26488</v>
      </c>
      <c r="L19" s="4">
        <f t="shared" si="18"/>
        <v>26582</v>
      </c>
      <c r="M19" s="4">
        <f t="shared" si="18"/>
        <v>26677</v>
      </c>
      <c r="N19" s="4">
        <f t="shared" si="18"/>
        <v>26771</v>
      </c>
      <c r="O19" s="4">
        <f t="shared" si="18"/>
        <v>26866</v>
      </c>
      <c r="P19" s="4">
        <f t="shared" si="18"/>
        <v>26913</v>
      </c>
      <c r="Q19" s="4">
        <f t="shared" si="18"/>
        <v>26960</v>
      </c>
      <c r="R19" s="4">
        <f t="shared" si="18"/>
        <v>27007</v>
      </c>
      <c r="V19" s="4" t="s">
        <v>69</v>
      </c>
      <c r="W19" s="4" t="s">
        <v>67</v>
      </c>
      <c r="X19" s="4">
        <v>0</v>
      </c>
      <c r="Y19" s="4">
        <v>0</v>
      </c>
      <c r="Z19" s="4">
        <v>0</v>
      </c>
      <c r="AA19" s="4">
        <v>0</v>
      </c>
      <c r="AB19" s="4">
        <v>0.5</v>
      </c>
      <c r="AC19" s="4">
        <v>1.5</v>
      </c>
      <c r="AD19" s="4">
        <v>2.5</v>
      </c>
      <c r="AE19" s="4">
        <v>3.5</v>
      </c>
      <c r="AF19" s="4">
        <v>4.5</v>
      </c>
      <c r="AG19" s="4">
        <v>5.5</v>
      </c>
      <c r="AH19" s="4">
        <v>6.5</v>
      </c>
      <c r="AI19" s="4">
        <v>7.5</v>
      </c>
      <c r="AJ19" s="4">
        <v>8.5</v>
      </c>
      <c r="AK19" s="4">
        <v>9</v>
      </c>
      <c r="AL19" s="4">
        <v>9</v>
      </c>
      <c r="AM19" s="4">
        <v>9</v>
      </c>
      <c r="AN19" s="4" t="s">
        <v>69</v>
      </c>
      <c r="AO19" s="4" t="s">
        <v>74</v>
      </c>
      <c r="AP19" s="4">
        <f t="shared" ref="AP19:BE19" si="19">1-AP9</f>
        <v>0</v>
      </c>
      <c r="AQ19" s="4">
        <f t="shared" si="19"/>
        <v>0</v>
      </c>
      <c r="AR19" s="4">
        <f t="shared" si="19"/>
        <v>0</v>
      </c>
      <c r="AS19" s="4">
        <f t="shared" si="19"/>
        <v>0</v>
      </c>
      <c r="AT19" s="4">
        <f t="shared" si="19"/>
        <v>0</v>
      </c>
      <c r="AU19" s="4">
        <f t="shared" si="19"/>
        <v>0</v>
      </c>
      <c r="AV19" s="4">
        <f t="shared" si="19"/>
        <v>0</v>
      </c>
      <c r="AW19" s="4">
        <f t="shared" si="19"/>
        <v>0</v>
      </c>
      <c r="AX19" s="4">
        <f t="shared" si="19"/>
        <v>0</v>
      </c>
      <c r="AY19" s="4">
        <f t="shared" si="19"/>
        <v>0</v>
      </c>
      <c r="AZ19" s="4">
        <f t="shared" si="19"/>
        <v>0</v>
      </c>
      <c r="BA19" s="4">
        <f t="shared" si="19"/>
        <v>0</v>
      </c>
      <c r="BB19" s="4">
        <f t="shared" si="19"/>
        <v>0</v>
      </c>
      <c r="BC19" s="4">
        <f t="shared" si="19"/>
        <v>0</v>
      </c>
      <c r="BD19" s="4">
        <f t="shared" si="19"/>
        <v>0</v>
      </c>
      <c r="BE19" s="4">
        <f t="shared" si="19"/>
        <v>0.5</v>
      </c>
    </row>
    <row r="20" spans="1:57">
      <c r="A20" s="10" t="s">
        <v>68</v>
      </c>
      <c r="B20" s="4">
        <v>10</v>
      </c>
      <c r="C20" s="4">
        <f t="shared" ref="C20:R20" si="20">ROUND((($U$2*X$9)+($V$2*X$19)+($U$2*AP$9)+($V$2*AP$19)+($W$2*(1-(AP$9+AP$19)))+($W$2*(9-(X$9+X$19))))*$AO$5,0)</f>
        <v>23650</v>
      </c>
      <c r="D20" s="4">
        <f t="shared" si="20"/>
        <v>23650</v>
      </c>
      <c r="E20" s="4">
        <f t="shared" si="20"/>
        <v>23650</v>
      </c>
      <c r="F20" s="4">
        <f t="shared" si="20"/>
        <v>23650</v>
      </c>
      <c r="G20" s="4">
        <f t="shared" si="20"/>
        <v>23697</v>
      </c>
      <c r="H20" s="4">
        <f t="shared" si="20"/>
        <v>23792</v>
      </c>
      <c r="I20" s="4">
        <f t="shared" si="20"/>
        <v>23886</v>
      </c>
      <c r="J20" s="4">
        <f t="shared" si="20"/>
        <v>23981</v>
      </c>
      <c r="K20" s="4">
        <f t="shared" si="20"/>
        <v>24075</v>
      </c>
      <c r="L20" s="4">
        <f t="shared" si="20"/>
        <v>24170</v>
      </c>
      <c r="M20" s="4">
        <f t="shared" si="20"/>
        <v>24264</v>
      </c>
      <c r="N20" s="4">
        <f t="shared" si="20"/>
        <v>24359</v>
      </c>
      <c r="O20" s="4">
        <f t="shared" si="20"/>
        <v>24453</v>
      </c>
      <c r="P20" s="4">
        <f t="shared" si="20"/>
        <v>24501</v>
      </c>
      <c r="Q20" s="4">
        <f t="shared" si="20"/>
        <v>24501</v>
      </c>
      <c r="R20" s="4">
        <f t="shared" si="20"/>
        <v>24548</v>
      </c>
      <c r="V20" s="4" t="s">
        <v>71</v>
      </c>
      <c r="W20" s="4" t="s">
        <v>67</v>
      </c>
      <c r="X20" s="4">
        <v>0</v>
      </c>
      <c r="Y20" s="4">
        <v>0</v>
      </c>
      <c r="Z20" s="4">
        <v>0</v>
      </c>
      <c r="AA20" s="4">
        <v>0</v>
      </c>
      <c r="AB20" s="4">
        <v>0.5</v>
      </c>
      <c r="AC20" s="4">
        <v>1.5</v>
      </c>
      <c r="AD20" s="4">
        <v>2.5</v>
      </c>
      <c r="AE20" s="4">
        <v>3.5</v>
      </c>
      <c r="AF20" s="4">
        <v>4.5</v>
      </c>
      <c r="AG20" s="4">
        <v>5.5</v>
      </c>
      <c r="AH20" s="4">
        <v>6.5</v>
      </c>
      <c r="AI20" s="4">
        <v>7.5</v>
      </c>
      <c r="AJ20" s="4">
        <v>8.5</v>
      </c>
      <c r="AK20" s="4">
        <v>9</v>
      </c>
      <c r="AL20" s="4">
        <v>9</v>
      </c>
      <c r="AM20" s="4">
        <v>9</v>
      </c>
      <c r="AN20" s="4" t="s">
        <v>71</v>
      </c>
      <c r="AO20" s="4" t="s">
        <v>74</v>
      </c>
      <c r="AP20" s="4">
        <v>0</v>
      </c>
      <c r="AQ20" s="4">
        <v>0</v>
      </c>
      <c r="AR20" s="4">
        <v>0</v>
      </c>
      <c r="AS20" s="4">
        <v>0</v>
      </c>
      <c r="AT20" s="4">
        <v>0</v>
      </c>
      <c r="AU20" s="4">
        <v>0</v>
      </c>
      <c r="AV20" s="4">
        <v>0</v>
      </c>
      <c r="AW20" s="4">
        <v>0</v>
      </c>
      <c r="AX20" s="4">
        <v>0</v>
      </c>
      <c r="AY20" s="4">
        <v>0</v>
      </c>
      <c r="AZ20" s="4">
        <v>0</v>
      </c>
      <c r="BA20" s="4">
        <v>0</v>
      </c>
      <c r="BB20" s="4">
        <v>0</v>
      </c>
      <c r="BC20" s="4">
        <v>0</v>
      </c>
      <c r="BD20" s="4">
        <v>0</v>
      </c>
      <c r="BE20" s="4">
        <v>0</v>
      </c>
    </row>
    <row r="21" spans="1:57">
      <c r="A21" s="10" t="s">
        <v>70</v>
      </c>
      <c r="B21" s="4">
        <v>9</v>
      </c>
      <c r="C21" s="4">
        <f t="shared" ref="C21:R21" si="21">ROUND((($U$2*X$10)+($V$2*X$20)+($U$2*AP$10)+($V$2*AP$20)+($W$2*(0-(AP$10+AP$20)))+($W$2*(9-(X$10+X$20))))*$AO$5,0)</f>
        <v>21285</v>
      </c>
      <c r="D21" s="4">
        <f t="shared" si="21"/>
        <v>21285</v>
      </c>
      <c r="E21" s="4">
        <f t="shared" si="21"/>
        <v>21285</v>
      </c>
      <c r="F21" s="4">
        <f t="shared" si="21"/>
        <v>21285</v>
      </c>
      <c r="G21" s="4">
        <f t="shared" si="21"/>
        <v>21332</v>
      </c>
      <c r="H21" s="4">
        <f t="shared" si="21"/>
        <v>21427</v>
      </c>
      <c r="I21" s="4">
        <f t="shared" si="21"/>
        <v>21521</v>
      </c>
      <c r="J21" s="4">
        <f t="shared" si="21"/>
        <v>21616</v>
      </c>
      <c r="K21" s="4">
        <f t="shared" si="21"/>
        <v>21710</v>
      </c>
      <c r="L21" s="4">
        <f t="shared" si="21"/>
        <v>21805</v>
      </c>
      <c r="M21" s="4">
        <f t="shared" si="21"/>
        <v>21899</v>
      </c>
      <c r="N21" s="4">
        <f t="shared" si="21"/>
        <v>21994</v>
      </c>
      <c r="O21" s="4">
        <f t="shared" si="21"/>
        <v>22088</v>
      </c>
      <c r="P21" s="4">
        <f t="shared" si="21"/>
        <v>22136</v>
      </c>
      <c r="Q21" s="4">
        <f t="shared" si="21"/>
        <v>22136</v>
      </c>
      <c r="R21" s="4">
        <f t="shared" si="21"/>
        <v>22136</v>
      </c>
      <c r="V21" s="4" t="s">
        <v>73</v>
      </c>
      <c r="W21" s="4" t="s">
        <v>74</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t="s">
        <v>73</v>
      </c>
      <c r="AO21" s="4" t="s">
        <v>74</v>
      </c>
      <c r="AP21" s="4">
        <f t="shared" ref="AP21:BE21" si="22">3-AP11</f>
        <v>0</v>
      </c>
      <c r="AQ21" s="4">
        <f t="shared" si="22"/>
        <v>0.5</v>
      </c>
      <c r="AR21" s="4">
        <f t="shared" si="22"/>
        <v>1</v>
      </c>
      <c r="AS21" s="4">
        <f t="shared" si="22"/>
        <v>1.5</v>
      </c>
      <c r="AT21" s="4">
        <f t="shared" si="22"/>
        <v>1.5</v>
      </c>
      <c r="AU21" s="4">
        <f t="shared" si="22"/>
        <v>1.5</v>
      </c>
      <c r="AV21" s="4">
        <f t="shared" si="22"/>
        <v>1.5</v>
      </c>
      <c r="AW21" s="4">
        <f t="shared" si="22"/>
        <v>1.5</v>
      </c>
      <c r="AX21" s="4">
        <f t="shared" si="22"/>
        <v>1.5</v>
      </c>
      <c r="AY21" s="4">
        <f t="shared" si="22"/>
        <v>1.5</v>
      </c>
      <c r="AZ21" s="4">
        <f t="shared" si="22"/>
        <v>1.5</v>
      </c>
      <c r="BA21" s="4">
        <f t="shared" si="22"/>
        <v>1.5</v>
      </c>
      <c r="BB21" s="4">
        <f t="shared" si="22"/>
        <v>1.5</v>
      </c>
      <c r="BC21" s="4">
        <f t="shared" si="22"/>
        <v>1.5</v>
      </c>
      <c r="BD21" s="4">
        <f t="shared" si="22"/>
        <v>2</v>
      </c>
      <c r="BE21" s="4">
        <f t="shared" si="22"/>
        <v>2.5</v>
      </c>
    </row>
    <row r="22" spans="1:57">
      <c r="A22" s="10" t="s">
        <v>72</v>
      </c>
      <c r="B22" s="4">
        <v>3</v>
      </c>
      <c r="C22" s="4">
        <f t="shared" ref="C22:R22" si="23">ROUND((($U$2*X$11)+($V$2*X$21)+($U$2*AP$11)+($V$2*AP$21)+($W$2*(3-(AP$11+AP$21)))+($W$2*(0-(X$11+X$21))))*$AO$5,0)</f>
        <v>7095</v>
      </c>
      <c r="D22" s="4">
        <f t="shared" si="23"/>
        <v>7142</v>
      </c>
      <c r="E22" s="4">
        <f t="shared" si="23"/>
        <v>7190</v>
      </c>
      <c r="F22" s="4">
        <f t="shared" si="23"/>
        <v>7237</v>
      </c>
      <c r="G22" s="4">
        <f t="shared" si="23"/>
        <v>7237</v>
      </c>
      <c r="H22" s="4">
        <f t="shared" si="23"/>
        <v>7237</v>
      </c>
      <c r="I22" s="4">
        <f t="shared" si="23"/>
        <v>7237</v>
      </c>
      <c r="J22" s="4">
        <f t="shared" si="23"/>
        <v>7237</v>
      </c>
      <c r="K22" s="4">
        <f t="shared" si="23"/>
        <v>7237</v>
      </c>
      <c r="L22" s="4">
        <f t="shared" si="23"/>
        <v>7237</v>
      </c>
      <c r="M22" s="4">
        <f t="shared" si="23"/>
        <v>7237</v>
      </c>
      <c r="N22" s="4">
        <f t="shared" si="23"/>
        <v>7237</v>
      </c>
      <c r="O22" s="4">
        <f t="shared" si="23"/>
        <v>7237</v>
      </c>
      <c r="P22" s="4">
        <f t="shared" si="23"/>
        <v>7237</v>
      </c>
      <c r="Q22" s="4">
        <f t="shared" si="23"/>
        <v>7284</v>
      </c>
      <c r="R22" s="4">
        <f t="shared" si="23"/>
        <v>7331</v>
      </c>
      <c r="V22" s="4" t="s">
        <v>76</v>
      </c>
      <c r="W22" s="4" t="s">
        <v>74</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t="s">
        <v>76</v>
      </c>
      <c r="AO22" s="4" t="s">
        <v>74</v>
      </c>
      <c r="AP22" s="4">
        <f t="shared" ref="AP22:BE22" si="24">2-AP12</f>
        <v>0</v>
      </c>
      <c r="AQ22" s="4">
        <f t="shared" si="24"/>
        <v>0</v>
      </c>
      <c r="AR22" s="4">
        <f t="shared" si="24"/>
        <v>0</v>
      </c>
      <c r="AS22" s="4">
        <f t="shared" si="24"/>
        <v>0.5</v>
      </c>
      <c r="AT22" s="4">
        <f t="shared" si="24"/>
        <v>0.5</v>
      </c>
      <c r="AU22" s="4">
        <f t="shared" si="24"/>
        <v>0.5</v>
      </c>
      <c r="AV22" s="4">
        <f t="shared" si="24"/>
        <v>0.5</v>
      </c>
      <c r="AW22" s="4">
        <f t="shared" si="24"/>
        <v>0.5</v>
      </c>
      <c r="AX22" s="4">
        <f t="shared" si="24"/>
        <v>0.5</v>
      </c>
      <c r="AY22" s="4">
        <f t="shared" si="24"/>
        <v>0.5</v>
      </c>
      <c r="AZ22" s="4">
        <f t="shared" si="24"/>
        <v>0.5</v>
      </c>
      <c r="BA22" s="4">
        <f t="shared" si="24"/>
        <v>0.5</v>
      </c>
      <c r="BB22" s="4">
        <f t="shared" si="24"/>
        <v>0.5</v>
      </c>
      <c r="BC22" s="4">
        <f t="shared" si="24"/>
        <v>0.5</v>
      </c>
      <c r="BD22" s="4">
        <f t="shared" si="24"/>
        <v>1</v>
      </c>
      <c r="BE22" s="4">
        <f t="shared" si="24"/>
        <v>1.5</v>
      </c>
    </row>
    <row r="23" spans="1:57">
      <c r="A23" s="10" t="s">
        <v>75</v>
      </c>
      <c r="B23" s="4">
        <v>2</v>
      </c>
      <c r="C23" s="4">
        <f t="shared" ref="C23:R23" si="25">ROUND((($U$2*X$12)+($V$2*X$22)+($U$2*AP$12)+($V$2*AP$22)+($W$2*(2-(AP$12+AP$22)))+($W$2*(0-(X$12+X$22))))*$AO$5,0)</f>
        <v>4730</v>
      </c>
      <c r="D23" s="4">
        <f t="shared" si="25"/>
        <v>4730</v>
      </c>
      <c r="E23" s="4">
        <f t="shared" si="25"/>
        <v>4730</v>
      </c>
      <c r="F23" s="4">
        <f t="shared" si="25"/>
        <v>4777</v>
      </c>
      <c r="G23" s="4">
        <f t="shared" si="25"/>
        <v>4777</v>
      </c>
      <c r="H23" s="4">
        <f t="shared" si="25"/>
        <v>4777</v>
      </c>
      <c r="I23" s="4">
        <f t="shared" si="25"/>
        <v>4777</v>
      </c>
      <c r="J23" s="4">
        <f t="shared" si="25"/>
        <v>4777</v>
      </c>
      <c r="K23" s="4">
        <f t="shared" si="25"/>
        <v>4777</v>
      </c>
      <c r="L23" s="4">
        <f t="shared" si="25"/>
        <v>4777</v>
      </c>
      <c r="M23" s="4">
        <f t="shared" si="25"/>
        <v>4777</v>
      </c>
      <c r="N23" s="4">
        <f t="shared" si="25"/>
        <v>4777</v>
      </c>
      <c r="O23" s="4">
        <f t="shared" si="25"/>
        <v>4777</v>
      </c>
      <c r="P23" s="4">
        <f t="shared" si="25"/>
        <v>4777</v>
      </c>
      <c r="Q23" s="4">
        <f t="shared" si="25"/>
        <v>4825</v>
      </c>
      <c r="R23" s="4">
        <f t="shared" si="25"/>
        <v>4872</v>
      </c>
      <c r="V23" s="4" t="s">
        <v>78</v>
      </c>
      <c r="W23" s="4" t="s">
        <v>74</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t="s">
        <v>78</v>
      </c>
      <c r="AO23" s="4" t="s">
        <v>74</v>
      </c>
      <c r="AP23" s="4">
        <f t="shared" ref="AP23:BE23" si="26">1-AP13</f>
        <v>0</v>
      </c>
      <c r="AQ23" s="4">
        <f t="shared" si="26"/>
        <v>0</v>
      </c>
      <c r="AR23" s="4">
        <f t="shared" si="26"/>
        <v>0</v>
      </c>
      <c r="AS23" s="4">
        <f t="shared" si="26"/>
        <v>0</v>
      </c>
      <c r="AT23" s="4">
        <f t="shared" si="26"/>
        <v>0</v>
      </c>
      <c r="AU23" s="4">
        <f t="shared" si="26"/>
        <v>0</v>
      </c>
      <c r="AV23" s="4">
        <f t="shared" si="26"/>
        <v>0</v>
      </c>
      <c r="AW23" s="4">
        <f t="shared" si="26"/>
        <v>0</v>
      </c>
      <c r="AX23" s="4">
        <f t="shared" si="26"/>
        <v>0</v>
      </c>
      <c r="AY23" s="4">
        <f t="shared" si="26"/>
        <v>0</v>
      </c>
      <c r="AZ23" s="4">
        <f t="shared" si="26"/>
        <v>0</v>
      </c>
      <c r="BA23" s="4">
        <f t="shared" si="26"/>
        <v>0</v>
      </c>
      <c r="BB23" s="4">
        <f t="shared" si="26"/>
        <v>0</v>
      </c>
      <c r="BC23" s="4">
        <f t="shared" si="26"/>
        <v>0</v>
      </c>
      <c r="BD23" s="4">
        <f t="shared" si="26"/>
        <v>0</v>
      </c>
      <c r="BE23" s="4">
        <f t="shared" si="26"/>
        <v>0.5</v>
      </c>
    </row>
    <row r="24" spans="1:57">
      <c r="A24" s="10" t="s">
        <v>77</v>
      </c>
      <c r="B24" s="4">
        <v>1</v>
      </c>
      <c r="C24" s="4">
        <f t="shared" ref="C24:R24" si="27">ROUND((($U$2*X$13)+($V$2*X$23)+($U$2*AP$13)+($V$2*AP$23)+($W$2*(1-(AP$13+AP$23)))+($W$2*(0-(X$13+X$23))))*$AO$5,0)</f>
        <v>2365</v>
      </c>
      <c r="D24" s="4">
        <f t="shared" si="27"/>
        <v>2365</v>
      </c>
      <c r="E24" s="4">
        <f t="shared" si="27"/>
        <v>2365</v>
      </c>
      <c r="F24" s="4">
        <f t="shared" si="27"/>
        <v>2365</v>
      </c>
      <c r="G24" s="4">
        <f t="shared" si="27"/>
        <v>2365</v>
      </c>
      <c r="H24" s="4">
        <f t="shared" si="27"/>
        <v>2365</v>
      </c>
      <c r="I24" s="4">
        <f t="shared" si="27"/>
        <v>2365</v>
      </c>
      <c r="J24" s="4">
        <f t="shared" si="27"/>
        <v>2365</v>
      </c>
      <c r="K24" s="4">
        <f t="shared" si="27"/>
        <v>2365</v>
      </c>
      <c r="L24" s="4">
        <f t="shared" si="27"/>
        <v>2365</v>
      </c>
      <c r="M24" s="4">
        <f t="shared" si="27"/>
        <v>2365</v>
      </c>
      <c r="N24" s="4">
        <f t="shared" si="27"/>
        <v>2365</v>
      </c>
      <c r="O24" s="4">
        <f t="shared" si="27"/>
        <v>2365</v>
      </c>
      <c r="P24" s="4">
        <f t="shared" si="27"/>
        <v>2365</v>
      </c>
      <c r="Q24" s="4">
        <f t="shared" si="27"/>
        <v>2365</v>
      </c>
      <c r="R24" s="4">
        <f t="shared" si="27"/>
        <v>2412</v>
      </c>
    </row>
    <row r="26" spans="1:57" ht="18.75" thickBot="1">
      <c r="A26" s="6" t="s">
        <v>80</v>
      </c>
      <c r="B26" s="7"/>
      <c r="C26" s="7"/>
      <c r="D26" s="7"/>
      <c r="E26" s="7"/>
      <c r="F26" s="7"/>
      <c r="G26" s="7"/>
      <c r="H26" s="7"/>
      <c r="I26" s="7"/>
      <c r="J26" s="7"/>
      <c r="K26" s="7"/>
      <c r="L26" s="7"/>
      <c r="M26" s="7"/>
      <c r="N26" s="7"/>
      <c r="O26" s="7"/>
      <c r="P26" s="7"/>
      <c r="Q26" s="7"/>
      <c r="R26" s="7"/>
      <c r="U26" s="5"/>
      <c r="W26" s="824" t="s">
        <v>602</v>
      </c>
      <c r="X26" s="819" t="s">
        <v>81</v>
      </c>
      <c r="Y26" s="115"/>
      <c r="Z26" s="820"/>
      <c r="AB26" s="819" t="s">
        <v>82</v>
      </c>
      <c r="AC26" s="115"/>
      <c r="AD26" s="820"/>
      <c r="AF26" s="821" t="s">
        <v>83</v>
      </c>
      <c r="AG26" s="822"/>
      <c r="AH26" s="820"/>
    </row>
    <row r="27" spans="1:57" ht="18.75">
      <c r="A27" s="21" t="s">
        <v>84</v>
      </c>
      <c r="B27" s="22">
        <f>'GRA 26-60 Matrices'!B99</f>
        <v>0.04</v>
      </c>
      <c r="C27" s="4" t="s">
        <v>85</v>
      </c>
      <c r="E27" s="109">
        <f>'GRA 26-60 Matrices'!E99</f>
        <v>0</v>
      </c>
      <c r="W27" s="4" t="s">
        <v>597</v>
      </c>
      <c r="X27" s="823">
        <v>18334</v>
      </c>
      <c r="Y27" s="24">
        <f>ROUND(X27*1.16,0)</f>
        <v>21267</v>
      </c>
      <c r="Z27" s="25">
        <f>ROUND(Y27*1.16,0)</f>
        <v>24670</v>
      </c>
      <c r="AB27" s="823">
        <v>33806</v>
      </c>
      <c r="AC27" s="24">
        <f>ROUND(AB27*1.16,0)</f>
        <v>39215</v>
      </c>
      <c r="AD27" s="25">
        <f>ROUND(AC27*1.16,0)</f>
        <v>45489</v>
      </c>
      <c r="AF27" s="26">
        <f>'GRA 26-60 Matrices'!AF88</f>
        <v>2524</v>
      </c>
      <c r="AG27" s="16">
        <f>'GRA 26-60 Matrices'!AG88</f>
        <v>2625</v>
      </c>
      <c r="AH27" s="25">
        <f>'GRA 26-60 Matrices'!AH88</f>
        <v>2730</v>
      </c>
    </row>
    <row r="28" spans="1:57">
      <c r="W28" s="4" t="s">
        <v>596</v>
      </c>
      <c r="X28" s="27">
        <f>'GRA 26-60 Matrices'!X89</f>
        <v>1799.55</v>
      </c>
      <c r="Y28" s="817">
        <f>'GRA 26-60 Matrices'!Y89</f>
        <v>1871.5319999999999</v>
      </c>
      <c r="Z28" s="28">
        <v>0</v>
      </c>
      <c r="AB28" s="27">
        <f>'GRA 26-60 Matrices'!AB89</f>
        <v>1799.55</v>
      </c>
      <c r="AC28" s="817">
        <f>'GRA 26-60 Matrices'!AC89</f>
        <v>1871.5319999999999</v>
      </c>
      <c r="AD28" s="28">
        <v>0</v>
      </c>
      <c r="AF28" s="29"/>
      <c r="AG28" s="30"/>
      <c r="AH28" s="28"/>
    </row>
    <row r="29" spans="1:57" ht="15.75">
      <c r="A29" s="11" t="s">
        <v>86</v>
      </c>
    </row>
    <row r="30" spans="1:57">
      <c r="B30" s="13" t="s">
        <v>54</v>
      </c>
      <c r="W30" s="14"/>
      <c r="X30" s="14"/>
      <c r="AB30" s="121" t="s">
        <v>317</v>
      </c>
      <c r="AC30"/>
      <c r="AD30"/>
    </row>
    <row r="31" spans="1:57">
      <c r="A31" s="16"/>
      <c r="B31" s="17" t="s">
        <v>58</v>
      </c>
      <c r="C31" s="18">
        <f t="shared" ref="C31:R31" si="28">+C17</f>
        <v>44012</v>
      </c>
      <c r="D31" s="18">
        <f t="shared" si="28"/>
        <v>44027</v>
      </c>
      <c r="E31" s="18">
        <f t="shared" si="28"/>
        <v>44043</v>
      </c>
      <c r="F31" s="18">
        <f t="shared" si="28"/>
        <v>44058</v>
      </c>
      <c r="G31" s="18">
        <f t="shared" si="28"/>
        <v>44074</v>
      </c>
      <c r="H31" s="18">
        <f t="shared" si="28"/>
        <v>44104</v>
      </c>
      <c r="I31" s="18">
        <f t="shared" si="28"/>
        <v>44135</v>
      </c>
      <c r="J31" s="18">
        <f t="shared" si="28"/>
        <v>44165</v>
      </c>
      <c r="K31" s="18">
        <f t="shared" si="28"/>
        <v>44196</v>
      </c>
      <c r="L31" s="18">
        <f t="shared" si="28"/>
        <v>44227</v>
      </c>
      <c r="M31" s="18">
        <f t="shared" si="28"/>
        <v>44255</v>
      </c>
      <c r="N31" s="18">
        <f t="shared" si="28"/>
        <v>44286</v>
      </c>
      <c r="O31" s="18">
        <f t="shared" si="28"/>
        <v>44316</v>
      </c>
      <c r="P31" s="18">
        <f t="shared" si="28"/>
        <v>44331</v>
      </c>
      <c r="Q31" s="18">
        <f t="shared" si="28"/>
        <v>44347</v>
      </c>
      <c r="R31" s="18">
        <f t="shared" si="28"/>
        <v>44362</v>
      </c>
      <c r="W31" s="14"/>
      <c r="X31" s="15"/>
      <c r="Y31" s="19"/>
      <c r="Z31" s="19"/>
      <c r="AA31" s="19"/>
      <c r="AB31" s="19"/>
      <c r="AC31" s="19"/>
      <c r="AD31" s="19"/>
      <c r="AE31" s="19"/>
      <c r="AF31" s="19"/>
      <c r="AG31" s="19"/>
      <c r="AH31" s="19"/>
      <c r="AI31" s="19"/>
      <c r="AJ31" s="19"/>
      <c r="AK31" s="19"/>
      <c r="AL31" s="19"/>
      <c r="AM31" s="19"/>
      <c r="AO31" s="14"/>
      <c r="AP31" s="14"/>
    </row>
    <row r="32" spans="1:57">
      <c r="X32" s="19">
        <f t="shared" ref="X32:AM32" si="29">+C31</f>
        <v>44012</v>
      </c>
      <c r="Y32" s="19">
        <f t="shared" si="29"/>
        <v>44027</v>
      </c>
      <c r="Z32" s="19">
        <f t="shared" si="29"/>
        <v>44043</v>
      </c>
      <c r="AA32" s="19">
        <f t="shared" si="29"/>
        <v>44058</v>
      </c>
      <c r="AB32" s="19">
        <f t="shared" si="29"/>
        <v>44074</v>
      </c>
      <c r="AC32" s="19">
        <f t="shared" si="29"/>
        <v>44104</v>
      </c>
      <c r="AD32" s="19">
        <f t="shared" si="29"/>
        <v>44135</v>
      </c>
      <c r="AE32" s="19">
        <f t="shared" si="29"/>
        <v>44165</v>
      </c>
      <c r="AF32" s="19">
        <f t="shared" si="29"/>
        <v>44196</v>
      </c>
      <c r="AG32" s="19">
        <f t="shared" si="29"/>
        <v>44227</v>
      </c>
      <c r="AH32" s="19">
        <f t="shared" si="29"/>
        <v>44255</v>
      </c>
      <c r="AI32" s="19">
        <f t="shared" si="29"/>
        <v>44286</v>
      </c>
      <c r="AJ32" s="19">
        <f t="shared" si="29"/>
        <v>44316</v>
      </c>
      <c r="AK32" s="19">
        <f t="shared" si="29"/>
        <v>44331</v>
      </c>
      <c r="AL32" s="19">
        <f t="shared" si="29"/>
        <v>44347</v>
      </c>
      <c r="AM32" s="19">
        <f t="shared" si="29"/>
        <v>44362</v>
      </c>
      <c r="AN32" s="110"/>
      <c r="AO32" s="115"/>
      <c r="AP32" s="110">
        <f t="shared" ref="AP32:BE32" si="30">+X32</f>
        <v>44012</v>
      </c>
      <c r="AQ32" s="110">
        <f t="shared" si="30"/>
        <v>44027</v>
      </c>
      <c r="AR32" s="110">
        <f t="shared" si="30"/>
        <v>44043</v>
      </c>
      <c r="AS32" s="110">
        <f t="shared" si="30"/>
        <v>44058</v>
      </c>
      <c r="AT32" s="110">
        <f t="shared" si="30"/>
        <v>44074</v>
      </c>
      <c r="AU32" s="110">
        <f t="shared" si="30"/>
        <v>44104</v>
      </c>
      <c r="AV32" s="110">
        <f t="shared" si="30"/>
        <v>44135</v>
      </c>
      <c r="AW32" s="110">
        <f t="shared" si="30"/>
        <v>44165</v>
      </c>
      <c r="AX32" s="110">
        <f t="shared" si="30"/>
        <v>44196</v>
      </c>
      <c r="AY32" s="110">
        <f t="shared" si="30"/>
        <v>44227</v>
      </c>
      <c r="AZ32" s="110">
        <f t="shared" si="30"/>
        <v>44255</v>
      </c>
      <c r="BA32" s="110">
        <f t="shared" si="30"/>
        <v>44286</v>
      </c>
      <c r="BB32" s="110">
        <f t="shared" si="30"/>
        <v>44316</v>
      </c>
      <c r="BC32" s="110">
        <f t="shared" si="30"/>
        <v>44331</v>
      </c>
      <c r="BD32" s="110">
        <f t="shared" si="30"/>
        <v>44347</v>
      </c>
      <c r="BE32" s="110">
        <f t="shared" si="30"/>
        <v>44362</v>
      </c>
    </row>
    <row r="33" spans="1:57">
      <c r="A33" s="10" t="s">
        <v>87</v>
      </c>
      <c r="B33" s="4">
        <v>12</v>
      </c>
      <c r="C33" s="4">
        <f t="shared" ref="C33:E34" si="31">ROUND((($X$27*(X33/9))+($Y$27*(X41/9))+($Z$27*(X49/9))+($X$28*AP33)+($X$28*AP41)*1),0)</f>
        <v>20134</v>
      </c>
      <c r="D33" s="4">
        <f t="shared" si="31"/>
        <v>20134</v>
      </c>
      <c r="E33" s="4">
        <f t="shared" si="31"/>
        <v>20134</v>
      </c>
      <c r="F33" s="4">
        <f t="shared" ref="F33:R37" si="32">ROUND((($X$27*(AA33/9))+($Y$27*(AA41/9))+($Z$27*(AA49/9))+($X$28*AS33)+($Y$28*AS41)*1),0)</f>
        <v>20206</v>
      </c>
      <c r="G33" s="4">
        <f t="shared" si="32"/>
        <v>20368</v>
      </c>
      <c r="H33" s="4">
        <f t="shared" si="32"/>
        <v>20694</v>
      </c>
      <c r="I33" s="4">
        <f t="shared" si="32"/>
        <v>21020</v>
      </c>
      <c r="J33" s="4">
        <f t="shared" si="32"/>
        <v>21346</v>
      </c>
      <c r="K33" s="4">
        <f t="shared" si="32"/>
        <v>21672</v>
      </c>
      <c r="L33" s="4">
        <f t="shared" si="32"/>
        <v>21998</v>
      </c>
      <c r="M33" s="4">
        <f t="shared" si="32"/>
        <v>22324</v>
      </c>
      <c r="N33" s="4">
        <f t="shared" si="32"/>
        <v>22650</v>
      </c>
      <c r="O33" s="4">
        <f t="shared" si="32"/>
        <v>22976</v>
      </c>
      <c r="P33" s="4">
        <f t="shared" si="32"/>
        <v>23139</v>
      </c>
      <c r="Q33" s="4">
        <f t="shared" si="32"/>
        <v>23139</v>
      </c>
      <c r="R33" s="4">
        <f t="shared" si="32"/>
        <v>23139</v>
      </c>
      <c r="V33" s="4" t="s">
        <v>60</v>
      </c>
      <c r="W33" s="4" t="s">
        <v>61</v>
      </c>
      <c r="X33" s="4">
        <v>9</v>
      </c>
      <c r="Y33" s="4">
        <v>9</v>
      </c>
      <c r="Z33" s="4">
        <v>9</v>
      </c>
      <c r="AA33" s="4">
        <v>9</v>
      </c>
      <c r="AB33" s="4">
        <v>8.5</v>
      </c>
      <c r="AC33" s="4">
        <v>7.5</v>
      </c>
      <c r="AD33" s="4">
        <v>6.5</v>
      </c>
      <c r="AE33" s="4">
        <v>5.5</v>
      </c>
      <c r="AF33" s="4">
        <v>4.5</v>
      </c>
      <c r="AG33" s="4">
        <v>3.5</v>
      </c>
      <c r="AH33" s="4">
        <v>2.5</v>
      </c>
      <c r="AI33" s="4">
        <v>1.5</v>
      </c>
      <c r="AJ33" s="4">
        <v>0.5</v>
      </c>
      <c r="AK33" s="4">
        <v>0</v>
      </c>
      <c r="AL33" s="4">
        <v>0</v>
      </c>
      <c r="AM33" s="4">
        <v>0</v>
      </c>
      <c r="AN33" s="4" t="s">
        <v>60</v>
      </c>
      <c r="AO33" s="4" t="s">
        <v>62</v>
      </c>
      <c r="AP33" s="4">
        <v>0</v>
      </c>
      <c r="AQ33" s="4">
        <v>0</v>
      </c>
      <c r="AR33" s="4">
        <v>0</v>
      </c>
      <c r="AS33" s="4">
        <v>0</v>
      </c>
      <c r="AT33" s="4">
        <v>0</v>
      </c>
      <c r="AU33" s="4">
        <v>0</v>
      </c>
      <c r="AV33" s="4">
        <v>0</v>
      </c>
      <c r="AW33" s="4">
        <v>0</v>
      </c>
      <c r="AX33" s="4">
        <v>0</v>
      </c>
      <c r="AY33" s="4">
        <v>0</v>
      </c>
      <c r="AZ33" s="4">
        <v>0</v>
      </c>
      <c r="BA33" s="4">
        <v>0</v>
      </c>
      <c r="BB33" s="4">
        <v>0</v>
      </c>
      <c r="BC33" s="4">
        <v>0</v>
      </c>
      <c r="BD33" s="4">
        <v>0</v>
      </c>
      <c r="BE33" s="4">
        <v>0</v>
      </c>
    </row>
    <row r="34" spans="1:57">
      <c r="A34" s="10" t="s">
        <v>87</v>
      </c>
      <c r="B34" s="4">
        <v>11</v>
      </c>
      <c r="C34" s="4">
        <f t="shared" si="31"/>
        <v>20134</v>
      </c>
      <c r="D34" s="4">
        <f t="shared" si="31"/>
        <v>20134</v>
      </c>
      <c r="E34" s="4">
        <f t="shared" si="31"/>
        <v>20134</v>
      </c>
      <c r="F34" s="4">
        <f t="shared" si="32"/>
        <v>20206</v>
      </c>
      <c r="G34" s="4">
        <f t="shared" si="32"/>
        <v>20368</v>
      </c>
      <c r="H34" s="4">
        <f t="shared" si="32"/>
        <v>20694</v>
      </c>
      <c r="I34" s="4">
        <f t="shared" si="32"/>
        <v>21020</v>
      </c>
      <c r="J34" s="4">
        <f t="shared" si="32"/>
        <v>21346</v>
      </c>
      <c r="K34" s="4">
        <f t="shared" si="32"/>
        <v>21672</v>
      </c>
      <c r="L34" s="4">
        <f t="shared" si="32"/>
        <v>21998</v>
      </c>
      <c r="M34" s="4">
        <f t="shared" si="32"/>
        <v>22324</v>
      </c>
      <c r="N34" s="4">
        <f t="shared" si="32"/>
        <v>22650</v>
      </c>
      <c r="O34" s="4">
        <f t="shared" si="32"/>
        <v>22976</v>
      </c>
      <c r="P34" s="4">
        <f t="shared" si="32"/>
        <v>23139</v>
      </c>
      <c r="Q34" s="4">
        <f t="shared" si="32"/>
        <v>23139</v>
      </c>
      <c r="R34" s="4">
        <f t="shared" si="32"/>
        <v>23139</v>
      </c>
      <c r="V34" s="4" t="s">
        <v>65</v>
      </c>
      <c r="W34" s="4" t="s">
        <v>66</v>
      </c>
      <c r="X34" s="4">
        <v>9</v>
      </c>
      <c r="Y34" s="4">
        <v>9</v>
      </c>
      <c r="Z34" s="4">
        <v>9</v>
      </c>
      <c r="AA34" s="4">
        <v>9</v>
      </c>
      <c r="AB34" s="4">
        <v>8.5</v>
      </c>
      <c r="AC34" s="4">
        <v>7.5</v>
      </c>
      <c r="AD34" s="4">
        <v>6.5</v>
      </c>
      <c r="AE34" s="4">
        <v>5.5</v>
      </c>
      <c r="AF34" s="4">
        <v>4.5</v>
      </c>
      <c r="AG34" s="4">
        <v>3.5</v>
      </c>
      <c r="AH34" s="4">
        <v>2.5</v>
      </c>
      <c r="AI34" s="4">
        <v>1.5</v>
      </c>
      <c r="AJ34" s="4">
        <v>0.5</v>
      </c>
      <c r="AK34" s="4">
        <v>0</v>
      </c>
      <c r="AL34" s="4">
        <v>0</v>
      </c>
      <c r="AM34" s="4">
        <v>0</v>
      </c>
      <c r="AN34" s="4" t="s">
        <v>65</v>
      </c>
      <c r="AO34" s="4" t="s">
        <v>62</v>
      </c>
      <c r="AP34" s="4">
        <v>0</v>
      </c>
      <c r="AQ34" s="4">
        <v>0</v>
      </c>
      <c r="AR34" s="4">
        <v>0</v>
      </c>
      <c r="AS34" s="4">
        <v>0</v>
      </c>
      <c r="AT34" s="4">
        <v>0</v>
      </c>
      <c r="AU34" s="4">
        <v>0</v>
      </c>
      <c r="AV34" s="4">
        <v>0</v>
      </c>
      <c r="AW34" s="4">
        <v>0</v>
      </c>
      <c r="AX34" s="4">
        <v>0</v>
      </c>
      <c r="AY34" s="4">
        <v>0</v>
      </c>
      <c r="AZ34" s="4">
        <v>0</v>
      </c>
      <c r="BA34" s="4">
        <v>0</v>
      </c>
      <c r="BB34" s="4">
        <v>0</v>
      </c>
      <c r="BC34" s="4">
        <v>0</v>
      </c>
      <c r="BD34" s="4">
        <v>0</v>
      </c>
      <c r="BE34" s="4">
        <v>0</v>
      </c>
    </row>
    <row r="35" spans="1:57">
      <c r="A35" s="10" t="s">
        <v>88</v>
      </c>
      <c r="B35" s="4">
        <v>10</v>
      </c>
      <c r="C35" s="4">
        <f t="shared" ref="C35:E37" si="33">ROUND((($X$27*(X35/9))+($Y$27*(X43/9))+($Z$27*(X51/9))+($X$28*AP35)+($Y$28*AP43)*1),0)</f>
        <v>18334</v>
      </c>
      <c r="D35" s="4">
        <f t="shared" si="33"/>
        <v>18334</v>
      </c>
      <c r="E35" s="4">
        <f t="shared" si="33"/>
        <v>18334</v>
      </c>
      <c r="F35" s="4">
        <f t="shared" si="32"/>
        <v>18334</v>
      </c>
      <c r="G35" s="4">
        <f t="shared" si="32"/>
        <v>18497</v>
      </c>
      <c r="H35" s="4">
        <f t="shared" si="32"/>
        <v>18823</v>
      </c>
      <c r="I35" s="4">
        <f t="shared" si="32"/>
        <v>19149</v>
      </c>
      <c r="J35" s="4">
        <f t="shared" si="32"/>
        <v>19475</v>
      </c>
      <c r="K35" s="4">
        <f t="shared" si="32"/>
        <v>19801</v>
      </c>
      <c r="L35" s="4">
        <f t="shared" si="32"/>
        <v>20126</v>
      </c>
      <c r="M35" s="4">
        <f t="shared" si="32"/>
        <v>20452</v>
      </c>
      <c r="N35" s="4">
        <f t="shared" si="32"/>
        <v>20778</v>
      </c>
      <c r="O35" s="4">
        <f t="shared" si="32"/>
        <v>21104</v>
      </c>
      <c r="P35" s="4">
        <f t="shared" si="32"/>
        <v>21267</v>
      </c>
      <c r="Q35" s="4">
        <f t="shared" si="32"/>
        <v>21267</v>
      </c>
      <c r="R35" s="4">
        <f t="shared" si="32"/>
        <v>21267</v>
      </c>
      <c r="V35" s="4" t="s">
        <v>69</v>
      </c>
      <c r="W35" s="4" t="s">
        <v>66</v>
      </c>
      <c r="X35" s="4">
        <v>9</v>
      </c>
      <c r="Y35" s="4">
        <v>9</v>
      </c>
      <c r="Z35" s="4">
        <v>9</v>
      </c>
      <c r="AA35" s="4">
        <v>9</v>
      </c>
      <c r="AB35" s="4">
        <v>8.5</v>
      </c>
      <c r="AC35" s="4">
        <v>7.5</v>
      </c>
      <c r="AD35" s="4">
        <v>6.5</v>
      </c>
      <c r="AE35" s="4">
        <v>5.5</v>
      </c>
      <c r="AF35" s="4">
        <v>4.5</v>
      </c>
      <c r="AG35" s="4">
        <v>3.5</v>
      </c>
      <c r="AH35" s="4">
        <v>2.5</v>
      </c>
      <c r="AI35" s="4">
        <v>1.5</v>
      </c>
      <c r="AJ35" s="4">
        <v>0.5</v>
      </c>
      <c r="AK35" s="4">
        <v>0</v>
      </c>
      <c r="AL35" s="4">
        <v>0</v>
      </c>
      <c r="AM35" s="4">
        <v>0</v>
      </c>
      <c r="AN35" s="4" t="s">
        <v>69</v>
      </c>
      <c r="AO35" s="4" t="s">
        <v>62</v>
      </c>
      <c r="AP35" s="4">
        <v>0</v>
      </c>
      <c r="AQ35" s="4">
        <v>0</v>
      </c>
      <c r="AR35" s="4">
        <v>0</v>
      </c>
      <c r="AS35" s="4">
        <v>0</v>
      </c>
      <c r="AT35" s="4">
        <v>0</v>
      </c>
      <c r="AU35" s="4">
        <v>0</v>
      </c>
      <c r="AV35" s="4">
        <v>0</v>
      </c>
      <c r="AW35" s="4">
        <v>0</v>
      </c>
      <c r="AX35" s="4">
        <v>0</v>
      </c>
      <c r="AY35" s="4">
        <v>0</v>
      </c>
      <c r="AZ35" s="4">
        <v>0</v>
      </c>
      <c r="BA35" s="4">
        <v>0</v>
      </c>
      <c r="BB35" s="4">
        <v>0</v>
      </c>
      <c r="BC35" s="4">
        <v>0</v>
      </c>
      <c r="BD35" s="4">
        <v>0</v>
      </c>
      <c r="BE35" s="4">
        <v>0</v>
      </c>
    </row>
    <row r="36" spans="1:57">
      <c r="A36" s="10" t="s">
        <v>88</v>
      </c>
      <c r="B36" s="4">
        <v>9</v>
      </c>
      <c r="C36" s="4">
        <f t="shared" si="33"/>
        <v>18334</v>
      </c>
      <c r="D36" s="4">
        <f t="shared" si="33"/>
        <v>18334</v>
      </c>
      <c r="E36" s="4">
        <f t="shared" si="33"/>
        <v>18334</v>
      </c>
      <c r="F36" s="4">
        <f t="shared" si="32"/>
        <v>18334</v>
      </c>
      <c r="G36" s="4">
        <f t="shared" si="32"/>
        <v>18497</v>
      </c>
      <c r="H36" s="4">
        <f t="shared" si="32"/>
        <v>18823</v>
      </c>
      <c r="I36" s="4">
        <f t="shared" si="32"/>
        <v>19149</v>
      </c>
      <c r="J36" s="4">
        <f t="shared" si="32"/>
        <v>19475</v>
      </c>
      <c r="K36" s="4">
        <f t="shared" si="32"/>
        <v>19801</v>
      </c>
      <c r="L36" s="4">
        <f t="shared" si="32"/>
        <v>20126</v>
      </c>
      <c r="M36" s="4">
        <f t="shared" si="32"/>
        <v>20452</v>
      </c>
      <c r="N36" s="4">
        <f t="shared" si="32"/>
        <v>20778</v>
      </c>
      <c r="O36" s="4">
        <f t="shared" si="32"/>
        <v>21104</v>
      </c>
      <c r="P36" s="4">
        <f t="shared" si="32"/>
        <v>21267</v>
      </c>
      <c r="Q36" s="4">
        <f t="shared" si="32"/>
        <v>21267</v>
      </c>
      <c r="R36" s="4">
        <f t="shared" si="32"/>
        <v>21267</v>
      </c>
      <c r="V36" s="4" t="s">
        <v>71</v>
      </c>
      <c r="W36" s="4" t="s">
        <v>66</v>
      </c>
      <c r="X36" s="4">
        <v>9</v>
      </c>
      <c r="Y36" s="4">
        <v>9</v>
      </c>
      <c r="Z36" s="4">
        <v>9</v>
      </c>
      <c r="AA36" s="4">
        <v>9</v>
      </c>
      <c r="AB36" s="4">
        <v>8.5</v>
      </c>
      <c r="AC36" s="4">
        <v>7.5</v>
      </c>
      <c r="AD36" s="4">
        <v>6.5</v>
      </c>
      <c r="AE36" s="4">
        <v>5.5</v>
      </c>
      <c r="AF36" s="4">
        <v>4.5</v>
      </c>
      <c r="AG36" s="4">
        <v>3.5</v>
      </c>
      <c r="AH36" s="4">
        <v>2.5</v>
      </c>
      <c r="AI36" s="4">
        <v>1.5</v>
      </c>
      <c r="AJ36" s="4">
        <v>0.5</v>
      </c>
      <c r="AK36" s="4">
        <v>0</v>
      </c>
      <c r="AL36" s="4">
        <v>0</v>
      </c>
      <c r="AM36" s="4">
        <v>0</v>
      </c>
      <c r="AN36" s="4" t="s">
        <v>71</v>
      </c>
      <c r="AO36" s="4" t="s">
        <v>62</v>
      </c>
      <c r="AP36" s="4">
        <v>0</v>
      </c>
      <c r="AQ36" s="4">
        <v>0</v>
      </c>
      <c r="AR36" s="4">
        <v>0</v>
      </c>
      <c r="AS36" s="4">
        <v>0</v>
      </c>
      <c r="AT36" s="4">
        <v>0</v>
      </c>
      <c r="AU36" s="4">
        <v>0</v>
      </c>
      <c r="AV36" s="4">
        <v>0</v>
      </c>
      <c r="AW36" s="4">
        <v>0</v>
      </c>
      <c r="AX36" s="4">
        <v>0</v>
      </c>
      <c r="AY36" s="4">
        <v>0</v>
      </c>
      <c r="AZ36" s="4">
        <v>0</v>
      </c>
      <c r="BA36" s="4">
        <v>0</v>
      </c>
      <c r="BB36" s="4">
        <v>0</v>
      </c>
      <c r="BC36" s="4">
        <v>0</v>
      </c>
      <c r="BD36" s="4">
        <v>0</v>
      </c>
      <c r="BE36" s="4">
        <v>0</v>
      </c>
    </row>
    <row r="37" spans="1:57">
      <c r="A37" s="10" t="s">
        <v>89</v>
      </c>
      <c r="B37" s="31" t="s">
        <v>90</v>
      </c>
      <c r="C37" s="4">
        <f t="shared" si="33"/>
        <v>1800</v>
      </c>
      <c r="D37" s="4">
        <f t="shared" si="33"/>
        <v>1800</v>
      </c>
      <c r="E37" s="4">
        <f t="shared" si="33"/>
        <v>1800</v>
      </c>
      <c r="F37" s="4">
        <f t="shared" si="32"/>
        <v>1872</v>
      </c>
      <c r="G37" s="4">
        <f t="shared" si="32"/>
        <v>1872</v>
      </c>
      <c r="H37" s="4">
        <f t="shared" si="32"/>
        <v>1872</v>
      </c>
      <c r="I37" s="4">
        <f t="shared" si="32"/>
        <v>1872</v>
      </c>
      <c r="J37" s="4">
        <f t="shared" si="32"/>
        <v>1872</v>
      </c>
      <c r="K37" s="4">
        <f t="shared" si="32"/>
        <v>1872</v>
      </c>
      <c r="L37" s="4">
        <f t="shared" si="32"/>
        <v>1872</v>
      </c>
      <c r="M37" s="4">
        <f t="shared" si="32"/>
        <v>1872</v>
      </c>
      <c r="N37" s="4">
        <f t="shared" si="32"/>
        <v>1872</v>
      </c>
      <c r="O37" s="4">
        <f t="shared" si="32"/>
        <v>1872</v>
      </c>
      <c r="P37" s="4">
        <f t="shared" si="32"/>
        <v>1872</v>
      </c>
      <c r="Q37" s="4">
        <f t="shared" si="32"/>
        <v>1872</v>
      </c>
      <c r="R37" s="4">
        <f t="shared" si="32"/>
        <v>1872</v>
      </c>
      <c r="V37" s="4" t="s">
        <v>73</v>
      </c>
      <c r="W37" s="4" t="s">
        <v>62</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t="s">
        <v>73</v>
      </c>
      <c r="AO37" s="4" t="s">
        <v>91</v>
      </c>
      <c r="AP37" s="4">
        <v>1</v>
      </c>
      <c r="AQ37" s="4">
        <v>1</v>
      </c>
      <c r="AR37" s="4">
        <v>1</v>
      </c>
      <c r="AS37" s="4">
        <v>0</v>
      </c>
      <c r="AT37" s="4">
        <v>0</v>
      </c>
      <c r="AU37" s="4">
        <v>0</v>
      </c>
      <c r="AV37" s="4">
        <v>0</v>
      </c>
      <c r="AW37" s="4">
        <v>0</v>
      </c>
      <c r="AX37" s="4">
        <v>0</v>
      </c>
      <c r="AY37" s="4">
        <v>0</v>
      </c>
      <c r="AZ37" s="4">
        <v>0</v>
      </c>
      <c r="BA37" s="4">
        <v>0</v>
      </c>
      <c r="BB37" s="4">
        <v>0</v>
      </c>
      <c r="BC37" s="4">
        <v>0</v>
      </c>
      <c r="BD37" s="4">
        <v>0</v>
      </c>
      <c r="BE37" s="4">
        <v>0</v>
      </c>
    </row>
    <row r="38" spans="1:57">
      <c r="W38" s="14"/>
      <c r="X38" s="14"/>
    </row>
    <row r="39" spans="1:57" ht="15.75">
      <c r="A39" s="11" t="s">
        <v>92</v>
      </c>
      <c r="X39" s="110">
        <f t="shared" ref="X39:AM39" si="34">+C41</f>
        <v>44012</v>
      </c>
      <c r="Y39" s="110">
        <f t="shared" si="34"/>
        <v>44027</v>
      </c>
      <c r="Z39" s="110">
        <f t="shared" si="34"/>
        <v>44043</v>
      </c>
      <c r="AA39" s="110">
        <f t="shared" si="34"/>
        <v>44058</v>
      </c>
      <c r="AB39" s="110">
        <f t="shared" si="34"/>
        <v>44074</v>
      </c>
      <c r="AC39" s="110">
        <f t="shared" si="34"/>
        <v>44104</v>
      </c>
      <c r="AD39" s="110">
        <f t="shared" si="34"/>
        <v>44135</v>
      </c>
      <c r="AE39" s="110">
        <f t="shared" si="34"/>
        <v>44165</v>
      </c>
      <c r="AF39" s="110">
        <f t="shared" si="34"/>
        <v>44196</v>
      </c>
      <c r="AG39" s="110">
        <f t="shared" si="34"/>
        <v>44227</v>
      </c>
      <c r="AH39" s="110">
        <f t="shared" si="34"/>
        <v>44255</v>
      </c>
      <c r="AI39" s="110">
        <f t="shared" si="34"/>
        <v>44286</v>
      </c>
      <c r="AJ39" s="110">
        <f t="shared" si="34"/>
        <v>44316</v>
      </c>
      <c r="AK39" s="110">
        <f t="shared" si="34"/>
        <v>44331</v>
      </c>
      <c r="AL39" s="110">
        <f t="shared" si="34"/>
        <v>44347</v>
      </c>
      <c r="AM39" s="110">
        <f t="shared" si="34"/>
        <v>44362</v>
      </c>
      <c r="AN39" s="110"/>
      <c r="AO39" s="115"/>
      <c r="AP39" s="110">
        <f t="shared" ref="AP39:BE39" si="35">+X39</f>
        <v>44012</v>
      </c>
      <c r="AQ39" s="110">
        <f t="shared" si="35"/>
        <v>44027</v>
      </c>
      <c r="AR39" s="110">
        <f t="shared" si="35"/>
        <v>44043</v>
      </c>
      <c r="AS39" s="110">
        <f t="shared" si="35"/>
        <v>44058</v>
      </c>
      <c r="AT39" s="110">
        <f t="shared" si="35"/>
        <v>44074</v>
      </c>
      <c r="AU39" s="110">
        <f t="shared" si="35"/>
        <v>44104</v>
      </c>
      <c r="AV39" s="110">
        <f t="shared" si="35"/>
        <v>44135</v>
      </c>
      <c r="AW39" s="110">
        <f t="shared" si="35"/>
        <v>44165</v>
      </c>
      <c r="AX39" s="110">
        <f t="shared" si="35"/>
        <v>44196</v>
      </c>
      <c r="AY39" s="110">
        <f t="shared" si="35"/>
        <v>44227</v>
      </c>
      <c r="AZ39" s="110">
        <f t="shared" si="35"/>
        <v>44255</v>
      </c>
      <c r="BA39" s="110">
        <f t="shared" si="35"/>
        <v>44286</v>
      </c>
      <c r="BB39" s="110">
        <f t="shared" si="35"/>
        <v>44316</v>
      </c>
      <c r="BC39" s="110">
        <f t="shared" si="35"/>
        <v>44331</v>
      </c>
      <c r="BD39" s="110">
        <f t="shared" si="35"/>
        <v>44347</v>
      </c>
      <c r="BE39" s="110">
        <f t="shared" si="35"/>
        <v>44362</v>
      </c>
    </row>
    <row r="40" spans="1:57">
      <c r="B40" s="13" t="s">
        <v>54</v>
      </c>
      <c r="X40" s="20"/>
      <c r="Y40" s="20"/>
      <c r="Z40" s="20"/>
      <c r="AA40" s="20"/>
      <c r="AB40" s="20"/>
      <c r="AC40" s="20"/>
      <c r="AD40" s="20"/>
      <c r="AE40" s="20"/>
      <c r="AF40" s="20"/>
      <c r="AG40" s="20"/>
      <c r="AH40" s="20"/>
      <c r="AI40" s="20"/>
      <c r="AJ40" s="20"/>
      <c r="AK40" s="20"/>
      <c r="AL40" s="20"/>
      <c r="AM40" s="20"/>
      <c r="AN40" s="20"/>
      <c r="AP40" s="20"/>
      <c r="AQ40" s="20"/>
      <c r="AR40" s="20"/>
      <c r="AS40" s="20"/>
      <c r="AT40" s="20"/>
      <c r="AU40" s="20"/>
      <c r="AV40" s="20"/>
      <c r="AW40" s="20"/>
      <c r="AX40" s="20"/>
      <c r="AY40" s="20"/>
      <c r="AZ40" s="20"/>
      <c r="BA40" s="20"/>
      <c r="BB40" s="20"/>
      <c r="BC40" s="20"/>
      <c r="BD40" s="20"/>
      <c r="BE40" s="20"/>
    </row>
    <row r="41" spans="1:57">
      <c r="A41" s="16"/>
      <c r="B41" s="17" t="s">
        <v>58</v>
      </c>
      <c r="C41" s="18">
        <f t="shared" ref="C41:R41" si="36">+C31</f>
        <v>44012</v>
      </c>
      <c r="D41" s="18">
        <f t="shared" si="36"/>
        <v>44027</v>
      </c>
      <c r="E41" s="18">
        <f t="shared" si="36"/>
        <v>44043</v>
      </c>
      <c r="F41" s="18">
        <f t="shared" si="36"/>
        <v>44058</v>
      </c>
      <c r="G41" s="18">
        <f t="shared" si="36"/>
        <v>44074</v>
      </c>
      <c r="H41" s="18">
        <f t="shared" si="36"/>
        <v>44104</v>
      </c>
      <c r="I41" s="18">
        <f t="shared" si="36"/>
        <v>44135</v>
      </c>
      <c r="J41" s="18">
        <f t="shared" si="36"/>
        <v>44165</v>
      </c>
      <c r="K41" s="18">
        <f t="shared" si="36"/>
        <v>44196</v>
      </c>
      <c r="L41" s="18">
        <f t="shared" si="36"/>
        <v>44227</v>
      </c>
      <c r="M41" s="18">
        <f t="shared" si="36"/>
        <v>44255</v>
      </c>
      <c r="N41" s="18">
        <f t="shared" si="36"/>
        <v>44286</v>
      </c>
      <c r="O41" s="18">
        <f t="shared" si="36"/>
        <v>44316</v>
      </c>
      <c r="P41" s="18">
        <f t="shared" si="36"/>
        <v>44331</v>
      </c>
      <c r="Q41" s="18">
        <f t="shared" si="36"/>
        <v>44347</v>
      </c>
      <c r="R41" s="18">
        <f t="shared" si="36"/>
        <v>44362</v>
      </c>
      <c r="V41" s="4" t="s">
        <v>60</v>
      </c>
      <c r="W41" s="4" t="s">
        <v>67</v>
      </c>
      <c r="X41" s="4">
        <f t="shared" ref="X41:AI44" si="37">9-X33</f>
        <v>0</v>
      </c>
      <c r="Y41" s="4">
        <f t="shared" si="37"/>
        <v>0</v>
      </c>
      <c r="Z41" s="4">
        <f t="shared" si="37"/>
        <v>0</v>
      </c>
      <c r="AA41" s="4">
        <f t="shared" si="37"/>
        <v>0</v>
      </c>
      <c r="AB41" s="4">
        <f t="shared" si="37"/>
        <v>0.5</v>
      </c>
      <c r="AC41" s="4">
        <f t="shared" si="37"/>
        <v>1.5</v>
      </c>
      <c r="AD41" s="4">
        <f t="shared" si="37"/>
        <v>2.5</v>
      </c>
      <c r="AE41" s="4">
        <f t="shared" si="37"/>
        <v>3.5</v>
      </c>
      <c r="AF41" s="4">
        <f t="shared" si="37"/>
        <v>4.5</v>
      </c>
      <c r="AG41" s="4">
        <f t="shared" si="37"/>
        <v>5.5</v>
      </c>
      <c r="AH41" s="4">
        <f t="shared" si="37"/>
        <v>6.5</v>
      </c>
      <c r="AI41" s="4">
        <f t="shared" si="37"/>
        <v>7.5</v>
      </c>
      <c r="AJ41" s="4">
        <v>8.5</v>
      </c>
      <c r="AK41" s="4">
        <v>9</v>
      </c>
      <c r="AL41" s="4">
        <v>9</v>
      </c>
      <c r="AM41" s="4">
        <v>9</v>
      </c>
      <c r="AN41" s="4" t="s">
        <v>60</v>
      </c>
      <c r="AO41" s="4" t="s">
        <v>74</v>
      </c>
      <c r="AP41" s="4">
        <f t="shared" ref="AP41:BE42" si="38">1-AP33</f>
        <v>1</v>
      </c>
      <c r="AQ41" s="4">
        <f t="shared" si="38"/>
        <v>1</v>
      </c>
      <c r="AR41" s="4">
        <f t="shared" si="38"/>
        <v>1</v>
      </c>
      <c r="AS41" s="4">
        <f t="shared" si="38"/>
        <v>1</v>
      </c>
      <c r="AT41" s="4">
        <f t="shared" si="38"/>
        <v>1</v>
      </c>
      <c r="AU41" s="4">
        <f t="shared" si="38"/>
        <v>1</v>
      </c>
      <c r="AV41" s="4">
        <f t="shared" si="38"/>
        <v>1</v>
      </c>
      <c r="AW41" s="4">
        <f t="shared" si="38"/>
        <v>1</v>
      </c>
      <c r="AX41" s="4">
        <f t="shared" si="38"/>
        <v>1</v>
      </c>
      <c r="AY41" s="4">
        <f t="shared" si="38"/>
        <v>1</v>
      </c>
      <c r="AZ41" s="4">
        <f t="shared" si="38"/>
        <v>1</v>
      </c>
      <c r="BA41" s="4">
        <f t="shared" si="38"/>
        <v>1</v>
      </c>
      <c r="BB41" s="4">
        <f t="shared" si="38"/>
        <v>1</v>
      </c>
      <c r="BC41" s="4">
        <f t="shared" si="38"/>
        <v>1</v>
      </c>
      <c r="BD41" s="4">
        <f t="shared" si="38"/>
        <v>1</v>
      </c>
      <c r="BE41" s="4">
        <f t="shared" si="38"/>
        <v>1</v>
      </c>
    </row>
    <row r="42" spans="1:57">
      <c r="V42" s="4" t="s">
        <v>65</v>
      </c>
      <c r="W42" s="4" t="s">
        <v>67</v>
      </c>
      <c r="X42" s="4">
        <f t="shared" si="37"/>
        <v>0</v>
      </c>
      <c r="Y42" s="4">
        <f t="shared" si="37"/>
        <v>0</v>
      </c>
      <c r="Z42" s="4">
        <f t="shared" si="37"/>
        <v>0</v>
      </c>
      <c r="AA42" s="4">
        <f t="shared" si="37"/>
        <v>0</v>
      </c>
      <c r="AB42" s="4">
        <f t="shared" si="37"/>
        <v>0.5</v>
      </c>
      <c r="AC42" s="4">
        <f t="shared" si="37"/>
        <v>1.5</v>
      </c>
      <c r="AD42" s="4">
        <f t="shared" si="37"/>
        <v>2.5</v>
      </c>
      <c r="AE42" s="4">
        <f t="shared" si="37"/>
        <v>3.5</v>
      </c>
      <c r="AF42" s="4">
        <f t="shared" si="37"/>
        <v>4.5</v>
      </c>
      <c r="AG42" s="4">
        <f t="shared" si="37"/>
        <v>5.5</v>
      </c>
      <c r="AH42" s="4">
        <f t="shared" si="37"/>
        <v>6.5</v>
      </c>
      <c r="AI42" s="4">
        <f t="shared" si="37"/>
        <v>7.5</v>
      </c>
      <c r="AJ42" s="4">
        <v>8.5</v>
      </c>
      <c r="AK42" s="4">
        <v>9</v>
      </c>
      <c r="AL42" s="4">
        <v>9</v>
      </c>
      <c r="AM42" s="4">
        <v>9</v>
      </c>
      <c r="AN42" s="4" t="s">
        <v>65</v>
      </c>
      <c r="AO42" s="4" t="s">
        <v>74</v>
      </c>
      <c r="AP42" s="4">
        <f t="shared" si="38"/>
        <v>1</v>
      </c>
      <c r="AQ42" s="4">
        <f t="shared" si="38"/>
        <v>1</v>
      </c>
      <c r="AR42" s="4">
        <f t="shared" si="38"/>
        <v>1</v>
      </c>
      <c r="AS42" s="4">
        <f t="shared" si="38"/>
        <v>1</v>
      </c>
      <c r="AT42" s="4">
        <f t="shared" si="38"/>
        <v>1</v>
      </c>
      <c r="AU42" s="4">
        <f t="shared" si="38"/>
        <v>1</v>
      </c>
      <c r="AV42" s="4">
        <f t="shared" si="38"/>
        <v>1</v>
      </c>
      <c r="AW42" s="4">
        <f t="shared" si="38"/>
        <v>1</v>
      </c>
      <c r="AX42" s="4">
        <f t="shared" si="38"/>
        <v>1</v>
      </c>
      <c r="AY42" s="4">
        <f t="shared" si="38"/>
        <v>1</v>
      </c>
      <c r="AZ42" s="4">
        <f t="shared" si="38"/>
        <v>1</v>
      </c>
      <c r="BA42" s="4">
        <f t="shared" si="38"/>
        <v>1</v>
      </c>
      <c r="BB42" s="4">
        <f t="shared" si="38"/>
        <v>1</v>
      </c>
      <c r="BC42" s="4">
        <f t="shared" si="38"/>
        <v>1</v>
      </c>
      <c r="BD42" s="4">
        <f t="shared" si="38"/>
        <v>1</v>
      </c>
      <c r="BE42" s="4">
        <f t="shared" si="38"/>
        <v>1</v>
      </c>
    </row>
    <row r="43" spans="1:57">
      <c r="A43" s="10" t="s">
        <v>87</v>
      </c>
      <c r="B43" s="4">
        <v>12</v>
      </c>
      <c r="C43" s="4">
        <f t="shared" ref="C43:E44" si="39">ROUND((($AB$27*(X33/9))+($AC$27*(X41/9))+($AD$27*(X49/9))+($AB$28*AP33)+($AB$28*AP41)*1),0)</f>
        <v>35606</v>
      </c>
      <c r="D43" s="4">
        <f t="shared" si="39"/>
        <v>35606</v>
      </c>
      <c r="E43" s="4">
        <f t="shared" si="39"/>
        <v>35606</v>
      </c>
      <c r="F43" s="4">
        <f t="shared" ref="F43:R47" si="40">ROUND((($AB$27*(AA33/9))+($AC$27*(AA41/9))+($AD$27*(AA49/9))+($AB$28*AS33)+($AC$28*AS41)*1),0)</f>
        <v>35678</v>
      </c>
      <c r="G43" s="4">
        <f t="shared" si="40"/>
        <v>35978</v>
      </c>
      <c r="H43" s="4">
        <f t="shared" si="40"/>
        <v>36579</v>
      </c>
      <c r="I43" s="4">
        <f t="shared" si="40"/>
        <v>37180</v>
      </c>
      <c r="J43" s="4">
        <f t="shared" si="40"/>
        <v>37781</v>
      </c>
      <c r="K43" s="4">
        <f t="shared" si="40"/>
        <v>38382</v>
      </c>
      <c r="L43" s="4">
        <f t="shared" si="40"/>
        <v>38983</v>
      </c>
      <c r="M43" s="4">
        <f t="shared" si="40"/>
        <v>39584</v>
      </c>
      <c r="N43" s="4">
        <f t="shared" si="40"/>
        <v>40185</v>
      </c>
      <c r="O43" s="4">
        <f t="shared" si="40"/>
        <v>40786</v>
      </c>
      <c r="P43" s="4">
        <f t="shared" si="40"/>
        <v>41087</v>
      </c>
      <c r="Q43" s="4">
        <f t="shared" si="40"/>
        <v>41087</v>
      </c>
      <c r="R43" s="4">
        <f t="shared" si="40"/>
        <v>41087</v>
      </c>
      <c r="V43" s="4" t="s">
        <v>69</v>
      </c>
      <c r="W43" s="4" t="s">
        <v>67</v>
      </c>
      <c r="X43" s="4">
        <f t="shared" si="37"/>
        <v>0</v>
      </c>
      <c r="Y43" s="4">
        <f t="shared" si="37"/>
        <v>0</v>
      </c>
      <c r="Z43" s="4">
        <f t="shared" si="37"/>
        <v>0</v>
      </c>
      <c r="AA43" s="4">
        <f t="shared" si="37"/>
        <v>0</v>
      </c>
      <c r="AB43" s="4">
        <f t="shared" si="37"/>
        <v>0.5</v>
      </c>
      <c r="AC43" s="4">
        <f t="shared" si="37"/>
        <v>1.5</v>
      </c>
      <c r="AD43" s="4">
        <f t="shared" si="37"/>
        <v>2.5</v>
      </c>
      <c r="AE43" s="4">
        <f t="shared" si="37"/>
        <v>3.5</v>
      </c>
      <c r="AF43" s="4">
        <f t="shared" si="37"/>
        <v>4.5</v>
      </c>
      <c r="AG43" s="4">
        <f t="shared" si="37"/>
        <v>5.5</v>
      </c>
      <c r="AH43" s="4">
        <f t="shared" si="37"/>
        <v>6.5</v>
      </c>
      <c r="AI43" s="4">
        <f t="shared" si="37"/>
        <v>7.5</v>
      </c>
      <c r="AJ43" s="4">
        <v>8.5</v>
      </c>
      <c r="AK43" s="4">
        <v>9</v>
      </c>
      <c r="AL43" s="4">
        <v>9</v>
      </c>
      <c r="AM43" s="4">
        <v>9</v>
      </c>
      <c r="AN43" s="4" t="s">
        <v>69</v>
      </c>
      <c r="AO43" s="4" t="s">
        <v>74</v>
      </c>
      <c r="AP43" s="4">
        <v>0</v>
      </c>
      <c r="AQ43" s="4">
        <v>0</v>
      </c>
      <c r="AR43" s="4">
        <v>0</v>
      </c>
      <c r="AS43" s="4">
        <v>0</v>
      </c>
      <c r="AT43" s="4">
        <v>0</v>
      </c>
      <c r="AU43" s="4">
        <v>0</v>
      </c>
      <c r="AV43" s="4">
        <v>0</v>
      </c>
      <c r="AW43" s="4">
        <v>0</v>
      </c>
      <c r="AX43" s="4">
        <v>0</v>
      </c>
      <c r="AY43" s="4">
        <v>0</v>
      </c>
      <c r="AZ43" s="4">
        <v>0</v>
      </c>
      <c r="BA43" s="4">
        <v>0</v>
      </c>
      <c r="BB43" s="4">
        <v>0</v>
      </c>
      <c r="BC43" s="4">
        <v>0</v>
      </c>
      <c r="BD43" s="4">
        <v>0</v>
      </c>
      <c r="BE43" s="4">
        <v>0</v>
      </c>
    </row>
    <row r="44" spans="1:57">
      <c r="A44" s="10" t="s">
        <v>87</v>
      </c>
      <c r="B44" s="4">
        <v>11</v>
      </c>
      <c r="C44" s="4">
        <f t="shared" si="39"/>
        <v>35606</v>
      </c>
      <c r="D44" s="4">
        <f t="shared" si="39"/>
        <v>35606</v>
      </c>
      <c r="E44" s="4">
        <f t="shared" si="39"/>
        <v>35606</v>
      </c>
      <c r="F44" s="4">
        <f t="shared" si="40"/>
        <v>35678</v>
      </c>
      <c r="G44" s="4">
        <f t="shared" si="40"/>
        <v>35978</v>
      </c>
      <c r="H44" s="4">
        <f t="shared" si="40"/>
        <v>36579</v>
      </c>
      <c r="I44" s="4">
        <f t="shared" si="40"/>
        <v>37180</v>
      </c>
      <c r="J44" s="4">
        <f t="shared" si="40"/>
        <v>37781</v>
      </c>
      <c r="K44" s="4">
        <f t="shared" si="40"/>
        <v>38382</v>
      </c>
      <c r="L44" s="4">
        <f t="shared" si="40"/>
        <v>38983</v>
      </c>
      <c r="M44" s="4">
        <f t="shared" si="40"/>
        <v>39584</v>
      </c>
      <c r="N44" s="4">
        <f t="shared" si="40"/>
        <v>40185</v>
      </c>
      <c r="O44" s="4">
        <f t="shared" si="40"/>
        <v>40786</v>
      </c>
      <c r="P44" s="4">
        <f t="shared" si="40"/>
        <v>41087</v>
      </c>
      <c r="Q44" s="4">
        <f t="shared" si="40"/>
        <v>41087</v>
      </c>
      <c r="R44" s="4">
        <f t="shared" si="40"/>
        <v>41087</v>
      </c>
      <c r="V44" s="4" t="s">
        <v>71</v>
      </c>
      <c r="W44" s="4" t="s">
        <v>93</v>
      </c>
      <c r="X44" s="4">
        <f t="shared" si="37"/>
        <v>0</v>
      </c>
      <c r="Y44" s="4">
        <f t="shared" si="37"/>
        <v>0</v>
      </c>
      <c r="Z44" s="4">
        <f t="shared" si="37"/>
        <v>0</v>
      </c>
      <c r="AA44" s="4">
        <f t="shared" si="37"/>
        <v>0</v>
      </c>
      <c r="AB44" s="4">
        <f t="shared" si="37"/>
        <v>0.5</v>
      </c>
      <c r="AC44" s="4">
        <f t="shared" si="37"/>
        <v>1.5</v>
      </c>
      <c r="AD44" s="4">
        <f t="shared" si="37"/>
        <v>2.5</v>
      </c>
      <c r="AE44" s="4">
        <f t="shared" si="37"/>
        <v>3.5</v>
      </c>
      <c r="AF44" s="4">
        <f t="shared" si="37"/>
        <v>4.5</v>
      </c>
      <c r="AG44" s="4">
        <f t="shared" si="37"/>
        <v>5.5</v>
      </c>
      <c r="AH44" s="4">
        <f t="shared" si="37"/>
        <v>6.5</v>
      </c>
      <c r="AI44" s="4">
        <f t="shared" si="37"/>
        <v>7.5</v>
      </c>
      <c r="AJ44" s="4">
        <v>8.5</v>
      </c>
      <c r="AK44" s="4">
        <v>9</v>
      </c>
      <c r="AL44" s="4">
        <v>9</v>
      </c>
      <c r="AM44" s="4">
        <v>9</v>
      </c>
      <c r="AN44" s="4" t="s">
        <v>71</v>
      </c>
      <c r="AO44" s="4" t="s">
        <v>74</v>
      </c>
      <c r="AP44" s="4">
        <v>0</v>
      </c>
      <c r="AQ44" s="4">
        <v>0</v>
      </c>
      <c r="AR44" s="4">
        <v>0</v>
      </c>
      <c r="AS44" s="4">
        <v>0</v>
      </c>
      <c r="AT44" s="4">
        <v>0</v>
      </c>
      <c r="AU44" s="4">
        <v>0</v>
      </c>
      <c r="AV44" s="4">
        <v>0</v>
      </c>
      <c r="AW44" s="4">
        <v>0</v>
      </c>
      <c r="AX44" s="4">
        <v>0</v>
      </c>
      <c r="AY44" s="4">
        <v>0</v>
      </c>
      <c r="AZ44" s="4">
        <v>0</v>
      </c>
      <c r="BA44" s="4">
        <v>0</v>
      </c>
      <c r="BB44" s="4">
        <v>0</v>
      </c>
      <c r="BC44" s="4">
        <v>0</v>
      </c>
      <c r="BD44" s="4">
        <v>0</v>
      </c>
      <c r="BE44" s="4">
        <v>0</v>
      </c>
    </row>
    <row r="45" spans="1:57">
      <c r="A45" s="10" t="s">
        <v>88</v>
      </c>
      <c r="B45" s="4">
        <v>10</v>
      </c>
      <c r="C45" s="4">
        <f t="shared" ref="C45:E47" si="41">ROUND((($AB$27*(X35/9))+($AC$27*(X43/9))+($AD$27*(X51/9))+($AB$28*AP35)+($AC$28*AP43)*1),0)</f>
        <v>33806</v>
      </c>
      <c r="D45" s="4">
        <f t="shared" si="41"/>
        <v>33806</v>
      </c>
      <c r="E45" s="4">
        <f t="shared" si="41"/>
        <v>33806</v>
      </c>
      <c r="F45" s="4">
        <f t="shared" si="40"/>
        <v>33806</v>
      </c>
      <c r="G45" s="4">
        <f t="shared" si="40"/>
        <v>34107</v>
      </c>
      <c r="H45" s="4">
        <f t="shared" si="40"/>
        <v>34708</v>
      </c>
      <c r="I45" s="4">
        <f t="shared" si="40"/>
        <v>35309</v>
      </c>
      <c r="J45" s="4">
        <f t="shared" si="40"/>
        <v>35910</v>
      </c>
      <c r="K45" s="4">
        <f t="shared" si="40"/>
        <v>36511</v>
      </c>
      <c r="L45" s="4">
        <f t="shared" si="40"/>
        <v>37112</v>
      </c>
      <c r="M45" s="4">
        <f t="shared" si="40"/>
        <v>37713</v>
      </c>
      <c r="N45" s="4">
        <f t="shared" si="40"/>
        <v>38314</v>
      </c>
      <c r="O45" s="4">
        <f t="shared" si="40"/>
        <v>38915</v>
      </c>
      <c r="P45" s="4">
        <f t="shared" si="40"/>
        <v>39215</v>
      </c>
      <c r="Q45" s="4">
        <f t="shared" si="40"/>
        <v>39215</v>
      </c>
      <c r="R45" s="4">
        <f t="shared" si="40"/>
        <v>39215</v>
      </c>
      <c r="V45" s="4" t="s">
        <v>73</v>
      </c>
      <c r="W45" s="4" t="s">
        <v>74</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t="s">
        <v>94</v>
      </c>
      <c r="AO45" s="4" t="s">
        <v>74</v>
      </c>
      <c r="AP45" s="4">
        <v>0</v>
      </c>
      <c r="AQ45" s="4">
        <v>0</v>
      </c>
      <c r="AR45" s="4">
        <v>0</v>
      </c>
      <c r="AS45" s="4">
        <v>1</v>
      </c>
      <c r="AT45" s="4">
        <v>1</v>
      </c>
      <c r="AU45" s="4">
        <v>1</v>
      </c>
      <c r="AV45" s="4">
        <v>1</v>
      </c>
      <c r="AW45" s="4">
        <v>1</v>
      </c>
      <c r="AX45" s="4">
        <v>1</v>
      </c>
      <c r="AY45" s="4">
        <v>1</v>
      </c>
      <c r="AZ45" s="4">
        <v>1</v>
      </c>
      <c r="BA45" s="4">
        <v>1</v>
      </c>
      <c r="BB45" s="4">
        <v>1</v>
      </c>
      <c r="BC45" s="4">
        <v>1</v>
      </c>
      <c r="BD45" s="4">
        <v>1</v>
      </c>
      <c r="BE45" s="4">
        <v>1</v>
      </c>
    </row>
    <row r="46" spans="1:57">
      <c r="A46" s="10" t="s">
        <v>88</v>
      </c>
      <c r="B46" s="4">
        <v>9</v>
      </c>
      <c r="C46" s="4">
        <f t="shared" si="41"/>
        <v>33806</v>
      </c>
      <c r="D46" s="4">
        <f t="shared" si="41"/>
        <v>33806</v>
      </c>
      <c r="E46" s="4">
        <f t="shared" si="41"/>
        <v>33806</v>
      </c>
      <c r="F46" s="4">
        <f t="shared" si="40"/>
        <v>33806</v>
      </c>
      <c r="G46" s="4">
        <f t="shared" si="40"/>
        <v>34107</v>
      </c>
      <c r="H46" s="4">
        <f t="shared" si="40"/>
        <v>34708</v>
      </c>
      <c r="I46" s="4">
        <f t="shared" si="40"/>
        <v>35309</v>
      </c>
      <c r="J46" s="4">
        <f t="shared" si="40"/>
        <v>35910</v>
      </c>
      <c r="K46" s="4">
        <f t="shared" si="40"/>
        <v>36511</v>
      </c>
      <c r="L46" s="4">
        <f t="shared" si="40"/>
        <v>37112</v>
      </c>
      <c r="M46" s="4">
        <f t="shared" si="40"/>
        <v>37713</v>
      </c>
      <c r="N46" s="4">
        <f t="shared" si="40"/>
        <v>38314</v>
      </c>
      <c r="O46" s="4">
        <f t="shared" si="40"/>
        <v>38915</v>
      </c>
      <c r="P46" s="4">
        <f t="shared" si="40"/>
        <v>39215</v>
      </c>
      <c r="Q46" s="4">
        <f t="shared" si="40"/>
        <v>39215</v>
      </c>
      <c r="R46" s="4">
        <f t="shared" si="40"/>
        <v>39215</v>
      </c>
      <c r="W46" s="14" t="s">
        <v>95</v>
      </c>
      <c r="X46" s="14"/>
    </row>
    <row r="47" spans="1:57">
      <c r="A47" s="10" t="s">
        <v>89</v>
      </c>
      <c r="B47" s="31" t="s">
        <v>90</v>
      </c>
      <c r="C47" s="4">
        <f t="shared" si="41"/>
        <v>1800</v>
      </c>
      <c r="D47" s="4">
        <f t="shared" si="41"/>
        <v>1800</v>
      </c>
      <c r="E47" s="4">
        <f t="shared" si="41"/>
        <v>1800</v>
      </c>
      <c r="F47" s="4">
        <f t="shared" si="40"/>
        <v>1872</v>
      </c>
      <c r="G47" s="4">
        <f t="shared" si="40"/>
        <v>1872</v>
      </c>
      <c r="H47" s="4">
        <f t="shared" si="40"/>
        <v>1872</v>
      </c>
      <c r="I47" s="4">
        <f t="shared" si="40"/>
        <v>1872</v>
      </c>
      <c r="J47" s="4">
        <f t="shared" si="40"/>
        <v>1872</v>
      </c>
      <c r="K47" s="4">
        <f t="shared" si="40"/>
        <v>1872</v>
      </c>
      <c r="L47" s="4">
        <f t="shared" si="40"/>
        <v>1872</v>
      </c>
      <c r="M47" s="4">
        <f t="shared" si="40"/>
        <v>1872</v>
      </c>
      <c r="N47" s="4">
        <f t="shared" si="40"/>
        <v>1872</v>
      </c>
      <c r="O47" s="4">
        <f t="shared" si="40"/>
        <v>1872</v>
      </c>
      <c r="P47" s="4">
        <f t="shared" si="40"/>
        <v>1872</v>
      </c>
      <c r="Q47" s="4">
        <f t="shared" si="40"/>
        <v>1872</v>
      </c>
      <c r="R47" s="4">
        <f t="shared" si="40"/>
        <v>1872</v>
      </c>
      <c r="W47" s="14"/>
      <c r="X47" s="14"/>
    </row>
    <row r="48" spans="1:57">
      <c r="X48" s="110">
        <f t="shared" ref="X48:AM48" si="42">+C52</f>
        <v>44012</v>
      </c>
      <c r="Y48" s="110">
        <f t="shared" si="42"/>
        <v>44027</v>
      </c>
      <c r="Z48" s="110">
        <f t="shared" si="42"/>
        <v>44043</v>
      </c>
      <c r="AA48" s="110">
        <f t="shared" si="42"/>
        <v>44058</v>
      </c>
      <c r="AB48" s="110">
        <f t="shared" si="42"/>
        <v>44074</v>
      </c>
      <c r="AC48" s="110">
        <f t="shared" si="42"/>
        <v>44104</v>
      </c>
      <c r="AD48" s="110">
        <f t="shared" si="42"/>
        <v>44135</v>
      </c>
      <c r="AE48" s="110">
        <f t="shared" si="42"/>
        <v>44165</v>
      </c>
      <c r="AF48" s="110">
        <f t="shared" si="42"/>
        <v>44196</v>
      </c>
      <c r="AG48" s="110">
        <f t="shared" si="42"/>
        <v>44227</v>
      </c>
      <c r="AH48" s="110">
        <f t="shared" si="42"/>
        <v>44255</v>
      </c>
      <c r="AI48" s="110">
        <f t="shared" si="42"/>
        <v>44286</v>
      </c>
      <c r="AJ48" s="110">
        <f t="shared" si="42"/>
        <v>44316</v>
      </c>
      <c r="AK48" s="110">
        <f t="shared" si="42"/>
        <v>44331</v>
      </c>
      <c r="AL48" s="110">
        <f t="shared" si="42"/>
        <v>44347</v>
      </c>
      <c r="AM48" s="110">
        <f t="shared" si="42"/>
        <v>44362</v>
      </c>
    </row>
    <row r="49" spans="1:39" ht="18.75" thickBot="1">
      <c r="A49" s="6" t="s">
        <v>96</v>
      </c>
      <c r="B49" s="7"/>
      <c r="C49" s="7"/>
      <c r="D49" s="7"/>
      <c r="E49" s="7"/>
      <c r="F49" s="7"/>
      <c r="G49" s="7"/>
      <c r="H49" s="7"/>
      <c r="I49" s="7"/>
      <c r="J49" s="7"/>
      <c r="K49" s="7"/>
      <c r="L49" s="7"/>
      <c r="M49" s="7"/>
      <c r="N49" s="7"/>
      <c r="O49" s="7"/>
      <c r="P49" s="7"/>
      <c r="Q49" s="7"/>
      <c r="R49" s="7"/>
      <c r="V49" s="4" t="s">
        <v>60</v>
      </c>
      <c r="W49" s="4" t="s">
        <v>61</v>
      </c>
      <c r="X49" s="4">
        <f t="shared" ref="X49:AM52" si="43">9-(X41+X33)</f>
        <v>0</v>
      </c>
      <c r="Y49" s="4">
        <f t="shared" si="43"/>
        <v>0</v>
      </c>
      <c r="Z49" s="4">
        <f t="shared" si="43"/>
        <v>0</v>
      </c>
      <c r="AA49" s="4">
        <f t="shared" si="43"/>
        <v>0</v>
      </c>
      <c r="AB49" s="4">
        <f t="shared" si="43"/>
        <v>0</v>
      </c>
      <c r="AC49" s="4">
        <f t="shared" si="43"/>
        <v>0</v>
      </c>
      <c r="AD49" s="4">
        <f t="shared" si="43"/>
        <v>0</v>
      </c>
      <c r="AE49" s="4">
        <f t="shared" si="43"/>
        <v>0</v>
      </c>
      <c r="AF49" s="4">
        <f t="shared" si="43"/>
        <v>0</v>
      </c>
      <c r="AG49" s="4">
        <f t="shared" si="43"/>
        <v>0</v>
      </c>
      <c r="AH49" s="4">
        <f t="shared" si="43"/>
        <v>0</v>
      </c>
      <c r="AI49" s="4">
        <f t="shared" si="43"/>
        <v>0</v>
      </c>
      <c r="AJ49" s="4">
        <f t="shared" si="43"/>
        <v>0</v>
      </c>
      <c r="AK49" s="4">
        <f t="shared" si="43"/>
        <v>0</v>
      </c>
      <c r="AL49" s="4">
        <f t="shared" si="43"/>
        <v>0</v>
      </c>
      <c r="AM49" s="4">
        <f t="shared" si="43"/>
        <v>0</v>
      </c>
    </row>
    <row r="50" spans="1:39" ht="18">
      <c r="A50" s="21" t="s">
        <v>84</v>
      </c>
      <c r="B50" s="22">
        <v>0.04</v>
      </c>
      <c r="C50" s="4" t="s">
        <v>85</v>
      </c>
      <c r="V50" s="4" t="s">
        <v>65</v>
      </c>
      <c r="W50" s="4" t="s">
        <v>66</v>
      </c>
      <c r="X50" s="4">
        <f t="shared" si="43"/>
        <v>0</v>
      </c>
      <c r="Y50" s="4">
        <f t="shared" si="43"/>
        <v>0</v>
      </c>
      <c r="Z50" s="4">
        <f t="shared" si="43"/>
        <v>0</v>
      </c>
      <c r="AA50" s="4">
        <f t="shared" si="43"/>
        <v>0</v>
      </c>
      <c r="AB50" s="4">
        <f t="shared" si="43"/>
        <v>0</v>
      </c>
      <c r="AC50" s="4">
        <f t="shared" si="43"/>
        <v>0</v>
      </c>
      <c r="AD50" s="4">
        <f t="shared" si="43"/>
        <v>0</v>
      </c>
      <c r="AE50" s="4">
        <f t="shared" si="43"/>
        <v>0</v>
      </c>
      <c r="AF50" s="4">
        <f t="shared" si="43"/>
        <v>0</v>
      </c>
      <c r="AG50" s="4">
        <f t="shared" si="43"/>
        <v>0</v>
      </c>
      <c r="AH50" s="4">
        <f t="shared" si="43"/>
        <v>0</v>
      </c>
      <c r="AI50" s="4">
        <f t="shared" si="43"/>
        <v>0</v>
      </c>
      <c r="AJ50" s="4">
        <f t="shared" si="43"/>
        <v>0</v>
      </c>
      <c r="AK50" s="4">
        <f t="shared" si="43"/>
        <v>0</v>
      </c>
      <c r="AL50" s="4">
        <f t="shared" si="43"/>
        <v>0</v>
      </c>
      <c r="AM50" s="4">
        <f t="shared" si="43"/>
        <v>0</v>
      </c>
    </row>
    <row r="51" spans="1:39">
      <c r="B51" s="13" t="s">
        <v>54</v>
      </c>
      <c r="V51" s="4" t="s">
        <v>69</v>
      </c>
      <c r="W51" s="4" t="s">
        <v>66</v>
      </c>
      <c r="X51" s="4">
        <f t="shared" si="43"/>
        <v>0</v>
      </c>
      <c r="Y51" s="4">
        <f t="shared" si="43"/>
        <v>0</v>
      </c>
      <c r="Z51" s="4">
        <f t="shared" si="43"/>
        <v>0</v>
      </c>
      <c r="AA51" s="4">
        <f t="shared" si="43"/>
        <v>0</v>
      </c>
      <c r="AB51" s="4">
        <f t="shared" si="43"/>
        <v>0</v>
      </c>
      <c r="AC51" s="4">
        <f t="shared" si="43"/>
        <v>0</v>
      </c>
      <c r="AD51" s="4">
        <f t="shared" si="43"/>
        <v>0</v>
      </c>
      <c r="AE51" s="4">
        <f t="shared" si="43"/>
        <v>0</v>
      </c>
      <c r="AF51" s="4">
        <f t="shared" si="43"/>
        <v>0</v>
      </c>
      <c r="AG51" s="4">
        <f t="shared" si="43"/>
        <v>0</v>
      </c>
      <c r="AH51" s="4">
        <f t="shared" si="43"/>
        <v>0</v>
      </c>
      <c r="AI51" s="4">
        <f t="shared" si="43"/>
        <v>0</v>
      </c>
      <c r="AJ51" s="4">
        <f t="shared" si="43"/>
        <v>0</v>
      </c>
      <c r="AK51" s="4">
        <f t="shared" si="43"/>
        <v>0</v>
      </c>
      <c r="AL51" s="4">
        <f t="shared" si="43"/>
        <v>0</v>
      </c>
      <c r="AM51" s="4">
        <f t="shared" si="43"/>
        <v>0</v>
      </c>
    </row>
    <row r="52" spans="1:39">
      <c r="A52" s="16"/>
      <c r="B52" s="17" t="s">
        <v>58</v>
      </c>
      <c r="C52" s="18">
        <f t="shared" ref="C52:R52" si="44">+C41</f>
        <v>44012</v>
      </c>
      <c r="D52" s="18">
        <f t="shared" si="44"/>
        <v>44027</v>
      </c>
      <c r="E52" s="18">
        <f t="shared" si="44"/>
        <v>44043</v>
      </c>
      <c r="F52" s="18">
        <f t="shared" si="44"/>
        <v>44058</v>
      </c>
      <c r="G52" s="18">
        <f t="shared" si="44"/>
        <v>44074</v>
      </c>
      <c r="H52" s="18">
        <f t="shared" si="44"/>
        <v>44104</v>
      </c>
      <c r="I52" s="18">
        <f t="shared" si="44"/>
        <v>44135</v>
      </c>
      <c r="J52" s="18">
        <f t="shared" si="44"/>
        <v>44165</v>
      </c>
      <c r="K52" s="18">
        <f t="shared" si="44"/>
        <v>44196</v>
      </c>
      <c r="L52" s="18">
        <f t="shared" si="44"/>
        <v>44227</v>
      </c>
      <c r="M52" s="18">
        <f t="shared" si="44"/>
        <v>44255</v>
      </c>
      <c r="N52" s="18">
        <f t="shared" si="44"/>
        <v>44286</v>
      </c>
      <c r="O52" s="18">
        <f t="shared" si="44"/>
        <v>44316</v>
      </c>
      <c r="P52" s="18">
        <f t="shared" si="44"/>
        <v>44331</v>
      </c>
      <c r="Q52" s="18">
        <f t="shared" si="44"/>
        <v>44347</v>
      </c>
      <c r="R52" s="18">
        <f t="shared" si="44"/>
        <v>44362</v>
      </c>
      <c r="V52" s="4" t="s">
        <v>71</v>
      </c>
      <c r="W52" s="4" t="s">
        <v>66</v>
      </c>
      <c r="X52" s="4">
        <f t="shared" si="43"/>
        <v>0</v>
      </c>
      <c r="Y52" s="4">
        <f t="shared" si="43"/>
        <v>0</v>
      </c>
      <c r="Z52" s="4">
        <f t="shared" si="43"/>
        <v>0</v>
      </c>
      <c r="AA52" s="4">
        <f t="shared" si="43"/>
        <v>0</v>
      </c>
      <c r="AB52" s="4">
        <f t="shared" si="43"/>
        <v>0</v>
      </c>
      <c r="AC52" s="4">
        <f t="shared" si="43"/>
        <v>0</v>
      </c>
      <c r="AD52" s="4">
        <f t="shared" si="43"/>
        <v>0</v>
      </c>
      <c r="AE52" s="4">
        <f t="shared" si="43"/>
        <v>0</v>
      </c>
      <c r="AF52" s="4">
        <f t="shared" si="43"/>
        <v>0</v>
      </c>
      <c r="AG52" s="4">
        <f t="shared" si="43"/>
        <v>0</v>
      </c>
      <c r="AH52" s="4">
        <f t="shared" si="43"/>
        <v>0</v>
      </c>
      <c r="AI52" s="4">
        <f t="shared" si="43"/>
        <v>0</v>
      </c>
      <c r="AJ52" s="4">
        <f t="shared" si="43"/>
        <v>0</v>
      </c>
      <c r="AK52" s="4">
        <f t="shared" si="43"/>
        <v>0</v>
      </c>
      <c r="AL52" s="4">
        <f t="shared" si="43"/>
        <v>0</v>
      </c>
      <c r="AM52" s="4">
        <f t="shared" si="43"/>
        <v>0</v>
      </c>
    </row>
    <row r="53" spans="1:39">
      <c r="V53" s="4" t="s">
        <v>73</v>
      </c>
      <c r="W53" s="4" t="s">
        <v>74</v>
      </c>
      <c r="X53" s="4">
        <v>0</v>
      </c>
      <c r="Y53" s="4">
        <v>0</v>
      </c>
      <c r="Z53" s="4">
        <v>0</v>
      </c>
      <c r="AA53" s="4">
        <v>0</v>
      </c>
      <c r="AB53" s="4">
        <v>0</v>
      </c>
      <c r="AC53" s="4">
        <v>0</v>
      </c>
      <c r="AD53" s="4">
        <v>0</v>
      </c>
      <c r="AE53" s="4">
        <v>0</v>
      </c>
      <c r="AF53" s="4">
        <v>0</v>
      </c>
      <c r="AG53" s="4">
        <v>0</v>
      </c>
      <c r="AH53" s="4">
        <v>0</v>
      </c>
      <c r="AI53" s="4">
        <v>0</v>
      </c>
      <c r="AJ53" s="4">
        <v>0</v>
      </c>
      <c r="AK53" s="4">
        <v>0</v>
      </c>
      <c r="AL53" s="4">
        <v>0</v>
      </c>
      <c r="AM53" s="4">
        <v>0</v>
      </c>
    </row>
    <row r="54" spans="1:39">
      <c r="A54" s="32" t="s">
        <v>97</v>
      </c>
      <c r="B54" s="33"/>
      <c r="C54" s="4">
        <f>ROUND((($AF$27*(X36/9))+($AG$27*(X44/9))+($AH$27*(X52/9))+($AF$28*AP36)+($AG$28*AP44)*1),0)</f>
        <v>2524</v>
      </c>
      <c r="D54" s="4">
        <f t="shared" ref="D54:R54" si="45">ROUND((($AF$27*(Y36/9))+($AG$27*(Y44/9))+($AH$27*(Y52/9))+($AF$28*AQ36)+($AG$28*AQ44)*1),0)</f>
        <v>2524</v>
      </c>
      <c r="E54" s="4">
        <f t="shared" si="45"/>
        <v>2524</v>
      </c>
      <c r="F54" s="4">
        <f t="shared" si="45"/>
        <v>2524</v>
      </c>
      <c r="G54" s="4">
        <f t="shared" si="45"/>
        <v>2530</v>
      </c>
      <c r="H54" s="4">
        <f t="shared" si="45"/>
        <v>2541</v>
      </c>
      <c r="I54" s="4">
        <f t="shared" si="45"/>
        <v>2552</v>
      </c>
      <c r="J54" s="4">
        <f t="shared" si="45"/>
        <v>2563</v>
      </c>
      <c r="K54" s="4">
        <f t="shared" si="45"/>
        <v>2575</v>
      </c>
      <c r="L54" s="4">
        <f t="shared" si="45"/>
        <v>2586</v>
      </c>
      <c r="M54" s="4">
        <f t="shared" si="45"/>
        <v>2597</v>
      </c>
      <c r="N54" s="4">
        <f t="shared" si="45"/>
        <v>2608</v>
      </c>
      <c r="O54" s="4">
        <f t="shared" si="45"/>
        <v>2619</v>
      </c>
      <c r="P54" s="4">
        <f t="shared" si="45"/>
        <v>2625</v>
      </c>
      <c r="Q54" s="4">
        <f t="shared" si="45"/>
        <v>2625</v>
      </c>
      <c r="R54" s="4">
        <f t="shared" si="45"/>
        <v>2625</v>
      </c>
    </row>
    <row r="55" spans="1:39">
      <c r="Q55" s="34"/>
      <c r="R55" s="34"/>
    </row>
  </sheetData>
  <sheetProtection algorithmName="SHA-512" hashValue="xhrDRhKXkKt2N+KTN7RONMnhZ95AFYGmHVwry/OFXj2k/tv7as0QTX2RG0110JbOLHoyNUKFuJjgG6DUquLcAQ==" saltValue="j2nQ8inkUTaK1btkzU59mQ==" spinCount="100000" sheet="1" objects="1" scenarios="1"/>
  <pageMargins left="0.2" right="0.2" top="0.2" bottom="0.2" header="0" footer="0"/>
  <pageSetup scale="10" orientation="landscape" horizontalDpi="1200" verticalDpi="12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6" tint="0.39997558519241921"/>
  </sheetPr>
  <dimension ref="A1:Y40"/>
  <sheetViews>
    <sheetView showGridLines="0" zoomScale="115" workbookViewId="0">
      <selection activeCell="A11" sqref="A11"/>
    </sheetView>
  </sheetViews>
  <sheetFormatPr defaultRowHeight="12.75"/>
  <cols>
    <col min="1" max="1" width="8.28515625" style="552" customWidth="1"/>
    <col min="2" max="2" width="11.42578125" style="552" customWidth="1"/>
    <col min="3" max="3" width="4" style="552" bestFit="1" customWidth="1"/>
    <col min="4" max="4" width="9.28515625" style="552" bestFit="1" customWidth="1"/>
    <col min="5" max="5" width="2.85546875" style="552" bestFit="1" customWidth="1"/>
    <col min="6" max="6" width="8" style="552" customWidth="1"/>
    <col min="7" max="7" width="1.5703125" style="552" bestFit="1" customWidth="1"/>
    <col min="8" max="8" width="2.140625" style="552" bestFit="1" customWidth="1"/>
    <col min="9" max="9" width="9.140625" style="552"/>
    <col min="10" max="10" width="4.5703125" style="552" bestFit="1" customWidth="1"/>
    <col min="11" max="11" width="8.28515625" style="552" bestFit="1" customWidth="1"/>
    <col min="12" max="12" width="3.42578125" style="552" bestFit="1" customWidth="1"/>
    <col min="13" max="13" width="9.140625" style="552"/>
    <col min="14" max="14" width="7" style="552" bestFit="1" customWidth="1"/>
    <col min="15" max="16384" width="9.140625" style="552"/>
  </cols>
  <sheetData>
    <row r="1" spans="1:20">
      <c r="A1" s="559" t="s">
        <v>505</v>
      </c>
      <c r="B1" s="559"/>
      <c r="C1" s="559"/>
      <c r="D1" s="559"/>
      <c r="E1" s="559"/>
      <c r="F1" s="560">
        <v>500000</v>
      </c>
      <c r="G1" s="559"/>
      <c r="H1" s="559"/>
      <c r="I1" s="559"/>
      <c r="J1" s="559" t="s">
        <v>506</v>
      </c>
      <c r="K1" s="559"/>
      <c r="L1" s="559"/>
      <c r="M1" s="559"/>
      <c r="N1" s="559"/>
      <c r="O1" s="561">
        <v>0.26</v>
      </c>
      <c r="Q1" s="552" t="s">
        <v>507</v>
      </c>
      <c r="R1" s="552" t="s">
        <v>508</v>
      </c>
    </row>
    <row r="2" spans="1:20">
      <c r="A2" s="559" t="s">
        <v>509</v>
      </c>
      <c r="B2" s="559"/>
      <c r="C2" s="559"/>
      <c r="D2" s="559"/>
      <c r="E2" s="559"/>
      <c r="F2" s="560">
        <v>60000</v>
      </c>
      <c r="G2" s="559"/>
      <c r="H2" s="559"/>
      <c r="I2" s="559"/>
      <c r="J2" s="559" t="s">
        <v>510</v>
      </c>
      <c r="K2" s="559"/>
      <c r="L2" s="559"/>
      <c r="M2" s="559"/>
      <c r="N2" s="559"/>
      <c r="O2" s="562">
        <v>0.22</v>
      </c>
      <c r="Q2" s="552" t="s">
        <v>511</v>
      </c>
      <c r="R2" s="552" t="s">
        <v>512</v>
      </c>
    </row>
    <row r="3" spans="1:20">
      <c r="A3" s="559" t="s">
        <v>547</v>
      </c>
      <c r="B3" s="559"/>
      <c r="C3" s="559"/>
      <c r="D3" s="559"/>
      <c r="E3" s="559"/>
      <c r="F3" s="560">
        <v>45000</v>
      </c>
      <c r="G3" s="559"/>
      <c r="H3" s="559"/>
      <c r="I3" s="559"/>
      <c r="J3" s="559"/>
      <c r="K3" s="559"/>
      <c r="L3" s="559"/>
      <c r="M3" s="559"/>
      <c r="N3" s="559"/>
      <c r="O3" s="562"/>
      <c r="R3" s="552" t="s">
        <v>513</v>
      </c>
    </row>
    <row r="4" spans="1:20" s="747" customFormat="1" ht="51">
      <c r="B4" s="748" t="s">
        <v>514</v>
      </c>
      <c r="C4" s="748"/>
      <c r="D4" s="748" t="s">
        <v>515</v>
      </c>
      <c r="E4" s="748"/>
      <c r="F4" s="748" t="s">
        <v>516</v>
      </c>
      <c r="G4" s="748"/>
      <c r="H4" s="748"/>
      <c r="I4" s="748" t="s">
        <v>514</v>
      </c>
      <c r="J4" s="748"/>
      <c r="K4" s="748" t="s">
        <v>517</v>
      </c>
      <c r="L4" s="748"/>
      <c r="M4" s="748"/>
      <c r="N4" s="748"/>
      <c r="O4" s="748" t="s">
        <v>518</v>
      </c>
      <c r="Q4" s="552" t="s">
        <v>519</v>
      </c>
      <c r="R4" s="552" t="s">
        <v>520</v>
      </c>
    </row>
    <row r="5" spans="1:20">
      <c r="B5" s="563">
        <f>F1</f>
        <v>500000</v>
      </c>
      <c r="C5" s="564" t="s">
        <v>521</v>
      </c>
      <c r="D5" s="565">
        <f>F2</f>
        <v>60000</v>
      </c>
      <c r="E5" s="564" t="s">
        <v>522</v>
      </c>
      <c r="F5" s="565">
        <f>F3</f>
        <v>45000</v>
      </c>
      <c r="G5" s="564" t="s">
        <v>523</v>
      </c>
      <c r="H5" s="749" t="s">
        <v>524</v>
      </c>
      <c r="I5" s="563">
        <f>B5</f>
        <v>500000</v>
      </c>
      <c r="J5" s="566" t="s">
        <v>522</v>
      </c>
      <c r="K5" s="567">
        <f>D5-F5</f>
        <v>15000</v>
      </c>
      <c r="L5" s="749" t="s">
        <v>524</v>
      </c>
      <c r="M5" s="568">
        <f>I5-K5</f>
        <v>485000</v>
      </c>
      <c r="N5" s="569" t="s">
        <v>525</v>
      </c>
      <c r="O5" s="570">
        <f>M5/M6</f>
        <v>384920.63492063491</v>
      </c>
      <c r="R5" s="552" t="s">
        <v>526</v>
      </c>
    </row>
    <row r="6" spans="1:20">
      <c r="D6" s="571">
        <f>1+O1</f>
        <v>1.26</v>
      </c>
      <c r="J6" s="572">
        <f>D6</f>
        <v>1.26</v>
      </c>
      <c r="M6" s="573">
        <v>1.26</v>
      </c>
    </row>
    <row r="7" spans="1:20" ht="38.25">
      <c r="D7" s="750" t="s">
        <v>527</v>
      </c>
      <c r="R7" s="751" t="s">
        <v>528</v>
      </c>
    </row>
    <row r="8" spans="1:20">
      <c r="J8" s="574"/>
      <c r="K8" s="575"/>
      <c r="L8" s="575"/>
      <c r="M8" s="575"/>
      <c r="N8" s="576"/>
      <c r="O8" s="577"/>
      <c r="R8" s="552" t="s">
        <v>529</v>
      </c>
    </row>
    <row r="9" spans="1:20" ht="38.25">
      <c r="B9" s="748" t="s">
        <v>15</v>
      </c>
      <c r="C9" s="571"/>
      <c r="D9" s="750" t="str">
        <f>J1</f>
        <v>MTDC F&amp;A Rate</v>
      </c>
      <c r="F9" s="748" t="s">
        <v>530</v>
      </c>
      <c r="J9" s="578" t="s">
        <v>531</v>
      </c>
      <c r="K9" s="579"/>
      <c r="L9" s="579"/>
      <c r="M9" s="579"/>
      <c r="N9" s="580"/>
      <c r="O9" s="570"/>
      <c r="R9" s="552" t="s">
        <v>532</v>
      </c>
    </row>
    <row r="10" spans="1:20">
      <c r="B10" s="581">
        <f>O5</f>
        <v>384920.63492063491</v>
      </c>
      <c r="C10" s="582" t="s">
        <v>533</v>
      </c>
      <c r="D10" s="583">
        <f>O1</f>
        <v>0.26</v>
      </c>
      <c r="E10" s="584" t="s">
        <v>525</v>
      </c>
      <c r="F10" s="585">
        <f>B10*D10</f>
        <v>100079.36507936507</v>
      </c>
      <c r="J10" s="586" t="s">
        <v>15</v>
      </c>
      <c r="K10" s="587"/>
      <c r="L10" s="587"/>
      <c r="M10" s="588">
        <f>O5</f>
        <v>384920.63492063491</v>
      </c>
      <c r="N10" s="589"/>
      <c r="R10" s="552" t="s">
        <v>548</v>
      </c>
    </row>
    <row r="11" spans="1:20">
      <c r="E11" s="571"/>
      <c r="F11" s="590"/>
      <c r="J11" s="586" t="s">
        <v>534</v>
      </c>
      <c r="K11" s="587"/>
      <c r="L11" s="587"/>
      <c r="M11" s="588">
        <f>F10</f>
        <v>100079.36507936507</v>
      </c>
      <c r="N11" s="589"/>
      <c r="R11" s="552" t="s">
        <v>549</v>
      </c>
    </row>
    <row r="12" spans="1:20">
      <c r="E12" s="571"/>
      <c r="F12" s="590"/>
      <c r="J12" s="591" t="s">
        <v>535</v>
      </c>
      <c r="K12" s="564"/>
      <c r="L12" s="564"/>
      <c r="M12" s="563">
        <f>K5</f>
        <v>15000</v>
      </c>
      <c r="N12" s="589"/>
      <c r="R12" s="575" t="s">
        <v>536</v>
      </c>
      <c r="S12" s="575"/>
      <c r="T12" s="575"/>
    </row>
    <row r="13" spans="1:20">
      <c r="E13" s="571"/>
      <c r="F13" s="590"/>
      <c r="J13" s="586"/>
      <c r="K13" s="587"/>
      <c r="L13" s="587"/>
      <c r="M13" s="588">
        <f>SUM(M10:M12)</f>
        <v>500000</v>
      </c>
      <c r="N13" s="589"/>
    </row>
    <row r="14" spans="1:20">
      <c r="E14" s="571"/>
      <c r="F14" s="590"/>
      <c r="J14" s="591"/>
      <c r="K14" s="564"/>
      <c r="L14" s="564"/>
      <c r="M14" s="564"/>
      <c r="N14" s="592"/>
      <c r="R14" s="593" t="s">
        <v>537</v>
      </c>
    </row>
    <row r="15" spans="1:20" ht="6" customHeight="1">
      <c r="E15" s="571"/>
      <c r="F15" s="590"/>
    </row>
    <row r="16" spans="1:20" ht="6" customHeight="1">
      <c r="A16" s="594"/>
      <c r="B16" s="594"/>
      <c r="C16" s="594"/>
      <c r="D16" s="594"/>
      <c r="E16" s="595"/>
      <c r="F16" s="596"/>
      <c r="G16" s="594"/>
      <c r="H16" s="594"/>
      <c r="I16" s="594"/>
      <c r="J16" s="594"/>
      <c r="K16" s="594"/>
      <c r="L16" s="594"/>
      <c r="M16" s="594"/>
      <c r="N16" s="594"/>
      <c r="O16" s="594"/>
    </row>
    <row r="17" spans="1:25" ht="6" customHeight="1">
      <c r="E17" s="571"/>
      <c r="F17" s="590"/>
    </row>
    <row r="18" spans="1:25" ht="38.25">
      <c r="B18" s="748" t="s">
        <v>514</v>
      </c>
      <c r="D18" s="748" t="str">
        <f>J2</f>
        <v>USDA Statutory Rate</v>
      </c>
      <c r="E18" s="571"/>
      <c r="F18" s="748" t="s">
        <v>538</v>
      </c>
      <c r="I18" s="748" t="s">
        <v>514</v>
      </c>
      <c r="K18" s="748" t="str">
        <f>F18</f>
        <v>TDC F&amp;A recovery</v>
      </c>
      <c r="M18" s="748" t="s">
        <v>21</v>
      </c>
    </row>
    <row r="19" spans="1:25">
      <c r="B19" s="581">
        <f>F1</f>
        <v>500000</v>
      </c>
      <c r="C19" s="582" t="s">
        <v>533</v>
      </c>
      <c r="D19" s="577">
        <f>O2</f>
        <v>0.22</v>
      </c>
      <c r="E19" s="584" t="s">
        <v>525</v>
      </c>
      <c r="F19" s="585">
        <f>B19*D19</f>
        <v>110000</v>
      </c>
      <c r="I19" s="581">
        <f>F1</f>
        <v>500000</v>
      </c>
      <c r="J19" s="597" t="s">
        <v>522</v>
      </c>
      <c r="K19" s="581">
        <f>F19</f>
        <v>110000</v>
      </c>
      <c r="L19" s="569" t="s">
        <v>525</v>
      </c>
      <c r="M19" s="581">
        <f>I19-K19</f>
        <v>390000</v>
      </c>
    </row>
    <row r="21" spans="1:25" ht="51">
      <c r="B21" s="748" t="str">
        <f>F18</f>
        <v>TDC F&amp;A recovery</v>
      </c>
      <c r="D21" s="748" t="s">
        <v>539</v>
      </c>
      <c r="I21" s="1536" t="s">
        <v>579</v>
      </c>
      <c r="J21" s="1537"/>
      <c r="K21" s="1537"/>
      <c r="L21" s="1537"/>
      <c r="M21" s="1537"/>
      <c r="N21" s="1537"/>
      <c r="O21" s="1538"/>
    </row>
    <row r="22" spans="1:25">
      <c r="B22" s="568">
        <f>F19</f>
        <v>110000</v>
      </c>
      <c r="C22" s="569" t="s">
        <v>525</v>
      </c>
      <c r="D22" s="598">
        <f>ROUNDDOWN(B22/B23,5)</f>
        <v>0.28205000000000002</v>
      </c>
      <c r="I22" s="1539"/>
      <c r="J22" s="1540"/>
      <c r="K22" s="1540"/>
      <c r="L22" s="1540"/>
      <c r="M22" s="1540"/>
      <c r="N22" s="1540"/>
      <c r="O22" s="1541"/>
    </row>
    <row r="23" spans="1:25">
      <c r="B23" s="599">
        <f>M19</f>
        <v>390000</v>
      </c>
      <c r="I23" s="1539"/>
      <c r="J23" s="1540"/>
      <c r="K23" s="1540"/>
      <c r="L23" s="1540"/>
      <c r="M23" s="1540"/>
      <c r="N23" s="1540"/>
      <c r="O23" s="1541"/>
    </row>
    <row r="24" spans="1:25" ht="25.5">
      <c r="B24" s="748" t="s">
        <v>21</v>
      </c>
      <c r="I24" s="1542"/>
      <c r="J24" s="1543"/>
      <c r="K24" s="1543"/>
      <c r="L24" s="1543"/>
      <c r="M24" s="1543"/>
      <c r="N24" s="1543"/>
      <c r="O24" s="1544"/>
      <c r="R24" s="600"/>
      <c r="S24" s="600"/>
      <c r="T24" s="600"/>
      <c r="U24" s="600"/>
      <c r="V24" s="600"/>
      <c r="W24" s="600"/>
      <c r="X24" s="600"/>
      <c r="Y24" s="600"/>
    </row>
    <row r="25" spans="1:25" ht="6" customHeight="1">
      <c r="E25" s="599"/>
      <c r="R25" s="600"/>
      <c r="S25" s="600"/>
      <c r="T25" s="600"/>
      <c r="U25" s="600"/>
      <c r="V25" s="600"/>
      <c r="W25" s="600"/>
      <c r="X25" s="600"/>
      <c r="Y25" s="600"/>
    </row>
    <row r="26" spans="1:25" ht="6" customHeight="1">
      <c r="A26" s="594"/>
      <c r="B26" s="594"/>
      <c r="C26" s="594"/>
      <c r="D26" s="594"/>
      <c r="E26" s="594"/>
      <c r="F26" s="594"/>
      <c r="G26" s="594"/>
      <c r="H26" s="594"/>
      <c r="I26" s="594"/>
      <c r="J26" s="594"/>
      <c r="K26" s="594"/>
      <c r="L26" s="594"/>
      <c r="M26" s="594"/>
      <c r="N26" s="594"/>
      <c r="O26" s="594"/>
      <c r="R26" s="600"/>
      <c r="S26" s="600"/>
      <c r="T26" s="600"/>
      <c r="U26" s="600"/>
      <c r="V26" s="600"/>
      <c r="W26" s="600"/>
      <c r="X26" s="600"/>
      <c r="Y26" s="600"/>
    </row>
    <row r="27" spans="1:25" ht="6" customHeight="1">
      <c r="R27" s="600"/>
      <c r="S27" s="600"/>
      <c r="T27" s="600"/>
      <c r="U27" s="600"/>
      <c r="V27" s="600"/>
      <c r="W27" s="600"/>
      <c r="X27" s="600"/>
      <c r="Y27" s="600"/>
    </row>
    <row r="28" spans="1:25">
      <c r="A28" s="574"/>
      <c r="B28" s="575" t="s">
        <v>540</v>
      </c>
      <c r="C28" s="575"/>
      <c r="D28" s="575"/>
      <c r="E28" s="575"/>
      <c r="F28" s="575"/>
      <c r="G28" s="576"/>
      <c r="I28" s="574" t="s">
        <v>541</v>
      </c>
      <c r="J28" s="575"/>
      <c r="K28" s="575"/>
      <c r="L28" s="575"/>
      <c r="M28" s="575"/>
      <c r="N28" s="575"/>
      <c r="O28" s="576"/>
      <c r="R28" s="600"/>
      <c r="S28" s="600"/>
      <c r="T28" s="600"/>
      <c r="U28" s="600"/>
      <c r="V28" s="600"/>
      <c r="W28" s="600"/>
      <c r="X28" s="600"/>
      <c r="Y28" s="600"/>
    </row>
    <row r="29" spans="1:25" ht="51">
      <c r="A29" s="586"/>
      <c r="B29" s="752" t="str">
        <f>F18</f>
        <v>TDC F&amp;A recovery</v>
      </c>
      <c r="C29" s="587"/>
      <c r="D29" s="752" t="str">
        <f>F9</f>
        <v>MTDC F&amp;A recovery</v>
      </c>
      <c r="E29" s="587"/>
      <c r="F29" s="752" t="s">
        <v>542</v>
      </c>
      <c r="G29" s="589"/>
      <c r="I29" s="753" t="str">
        <f>M18</f>
        <v>Total Direct Costs</v>
      </c>
      <c r="J29" s="752"/>
      <c r="K29" s="752" t="str">
        <f>O4</f>
        <v>Modified Tot Dir Costs (MTDC)</v>
      </c>
      <c r="L29" s="587"/>
      <c r="M29" s="752" t="str">
        <f>K4</f>
        <v>Exempt Amount</v>
      </c>
      <c r="N29" s="752"/>
      <c r="O29" s="754" t="s">
        <v>542</v>
      </c>
      <c r="R29" s="600"/>
      <c r="S29" s="600"/>
      <c r="T29" s="600"/>
      <c r="U29" s="600"/>
      <c r="V29" s="600"/>
      <c r="W29" s="600"/>
      <c r="X29" s="600"/>
      <c r="Y29" s="600"/>
    </row>
    <row r="30" spans="1:25">
      <c r="A30" s="586"/>
      <c r="B30" s="601">
        <f>F19</f>
        <v>110000</v>
      </c>
      <c r="C30" s="597" t="s">
        <v>522</v>
      </c>
      <c r="D30" s="601">
        <f>F10</f>
        <v>100079.36507936507</v>
      </c>
      <c r="E30" s="602" t="s">
        <v>525</v>
      </c>
      <c r="F30" s="588">
        <f>-(B30-D30)</f>
        <v>-9920.6349206349259</v>
      </c>
      <c r="G30" s="589"/>
      <c r="I30" s="603">
        <f>M19</f>
        <v>390000</v>
      </c>
      <c r="J30" s="597" t="s">
        <v>522</v>
      </c>
      <c r="K30" s="601">
        <f>O5</f>
        <v>384920.63492063491</v>
      </c>
      <c r="L30" s="597" t="s">
        <v>522</v>
      </c>
      <c r="M30" s="604">
        <f>K5</f>
        <v>15000</v>
      </c>
      <c r="N30" s="605" t="s">
        <v>525</v>
      </c>
      <c r="O30" s="606">
        <f>I30-K30-M30</f>
        <v>-9920.6349206349114</v>
      </c>
      <c r="Q30" s="593"/>
      <c r="R30" s="755" t="str">
        <f>IF(F30&lt;1,"USE MTDC RATE","USE USDA RATE")</f>
        <v>USE MTDC RATE</v>
      </c>
      <c r="S30" s="600"/>
      <c r="T30" s="600"/>
      <c r="U30" s="600"/>
      <c r="V30" s="600"/>
      <c r="W30" s="600"/>
      <c r="X30" s="600"/>
      <c r="Y30" s="600"/>
    </row>
    <row r="31" spans="1:25">
      <c r="A31" s="591"/>
      <c r="B31" s="564"/>
      <c r="C31" s="564"/>
      <c r="D31" s="564"/>
      <c r="E31" s="564"/>
      <c r="F31" s="564"/>
      <c r="G31" s="592"/>
      <c r="I31" s="591"/>
      <c r="J31" s="564"/>
      <c r="K31" s="564"/>
      <c r="L31" s="564"/>
      <c r="M31" s="564"/>
      <c r="N31" s="564"/>
      <c r="O31" s="592"/>
      <c r="R31" s="600"/>
      <c r="S31" s="600"/>
      <c r="T31" s="600"/>
      <c r="U31" s="600"/>
      <c r="V31" s="600"/>
      <c r="W31" s="600"/>
      <c r="X31" s="600"/>
      <c r="Y31" s="600"/>
    </row>
    <row r="32" spans="1:25" ht="6" customHeight="1">
      <c r="R32" s="600"/>
      <c r="S32" s="600"/>
      <c r="T32" s="600"/>
      <c r="U32" s="600"/>
      <c r="V32" s="600"/>
      <c r="W32" s="600"/>
      <c r="X32" s="600"/>
      <c r="Y32" s="600"/>
    </row>
    <row r="33" spans="1:15" ht="6" customHeight="1">
      <c r="A33" s="594"/>
      <c r="B33" s="594"/>
      <c r="C33" s="594"/>
      <c r="D33" s="594"/>
      <c r="E33" s="594"/>
      <c r="F33" s="594"/>
      <c r="G33" s="594"/>
      <c r="H33" s="594"/>
      <c r="I33" s="594"/>
      <c r="J33" s="594"/>
      <c r="K33" s="594"/>
      <c r="L33" s="594"/>
      <c r="M33" s="594"/>
      <c r="N33" s="594"/>
      <c r="O33" s="594"/>
    </row>
    <row r="34" spans="1:15" ht="6" customHeight="1"/>
    <row r="35" spans="1:15">
      <c r="B35" s="607"/>
      <c r="C35" s="582"/>
      <c r="D35" s="598"/>
      <c r="F35" s="607"/>
    </row>
    <row r="36" spans="1:15">
      <c r="A36" s="552" t="s">
        <v>543</v>
      </c>
      <c r="B36" s="607"/>
      <c r="C36" s="608" t="s">
        <v>544</v>
      </c>
      <c r="D36" s="598"/>
      <c r="E36" s="602"/>
      <c r="F36" s="607"/>
      <c r="G36" s="607"/>
      <c r="H36" s="607"/>
      <c r="I36" s="607"/>
      <c r="J36" s="582"/>
      <c r="K36" s="598"/>
      <c r="L36" s="602"/>
      <c r="M36" s="607"/>
    </row>
    <row r="37" spans="1:15">
      <c r="A37" s="552" t="s">
        <v>545</v>
      </c>
      <c r="B37" s="607"/>
      <c r="C37" s="609" t="s">
        <v>546</v>
      </c>
      <c r="D37" s="598"/>
      <c r="E37" s="602"/>
      <c r="F37" s="607"/>
      <c r="G37" s="607"/>
      <c r="H37" s="607"/>
      <c r="I37" s="607"/>
      <c r="J37" s="582"/>
      <c r="K37" s="598"/>
      <c r="L37" s="602"/>
      <c r="M37" s="607"/>
    </row>
    <row r="38" spans="1:15">
      <c r="B38" s="607"/>
      <c r="C38" s="607"/>
      <c r="D38" s="607"/>
      <c r="E38" s="607"/>
      <c r="F38" s="607"/>
      <c r="G38" s="607"/>
      <c r="H38" s="607"/>
      <c r="I38" s="607"/>
      <c r="J38" s="607"/>
      <c r="K38" s="607"/>
      <c r="L38" s="607"/>
      <c r="M38" s="607"/>
      <c r="O38" s="607"/>
    </row>
    <row r="39" spans="1:15">
      <c r="B39" s="607"/>
    </row>
    <row r="40" spans="1:15">
      <c r="F40" s="607"/>
      <c r="O40" s="581"/>
    </row>
  </sheetData>
  <mergeCells count="1">
    <mergeCell ref="I21:O24"/>
  </mergeCells>
  <hyperlinks>
    <hyperlink ref="C36" r:id="rId1" xr:uid="{00000000-0004-0000-1800-000000000000}"/>
    <hyperlink ref="C37" r:id="rId2" xr:uid="{00000000-0004-0000-1800-000001000000}"/>
  </hyperlinks>
  <pageMargins left="0.75" right="0.75" top="0.91" bottom="0.39" header="0.3" footer="0.17"/>
  <pageSetup orientation="portrait" r:id="rId3"/>
  <headerFooter alignWithMargins="0">
    <oddHeader>&amp;C&amp;"Arial Black,Regular"&amp;12USDA/CSREES
F&amp;&amp;A Modified Calculation</oddHeader>
    <oddFooter>&amp;L&amp;8&amp;F: &amp;A&amp;C&amp;8Prep By: M. DeShazo&amp;R&amp;8Printed on &amp;D at &amp;T</oddFooter>
  </headerFooter>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pageSetUpPr fitToPage="1"/>
  </sheetPr>
  <dimension ref="A1:X231"/>
  <sheetViews>
    <sheetView zoomScaleNormal="100" workbookViewId="0">
      <pane ySplit="2" topLeftCell="A3" activePane="bottomLeft" state="frozen"/>
      <selection activeCell="F33" sqref="F33"/>
      <selection pane="bottomLeft" activeCell="A2" sqref="A2"/>
    </sheetView>
  </sheetViews>
  <sheetFormatPr defaultRowHeight="12.75" customHeight="1"/>
  <cols>
    <col min="1" max="1" width="24" style="554" customWidth="1"/>
    <col min="2" max="2" width="9.5703125" style="554" customWidth="1"/>
    <col min="3" max="3" width="8.28515625" style="554" customWidth="1"/>
    <col min="4" max="4" width="5.28515625" style="554" customWidth="1"/>
    <col min="5" max="5" width="8.28515625" style="554" customWidth="1"/>
    <col min="6" max="6" width="8.5703125" style="554" customWidth="1"/>
    <col min="7" max="7" width="12.5703125" style="556" customWidth="1"/>
    <col min="8" max="14" width="16.5703125" style="557" customWidth="1"/>
    <col min="15" max="15" width="13.42578125" style="554" customWidth="1"/>
    <col min="16" max="20" width="17.42578125" style="546" customWidth="1"/>
    <col min="21" max="22" width="9.140625" style="546"/>
    <col min="23" max="16384" width="9.140625" style="554"/>
  </cols>
  <sheetData>
    <row r="1" spans="1:22" s="551" customFormat="1" ht="12.75" customHeight="1">
      <c r="A1" s="551" t="str">
        <f>'WSU Budget FY24'!A1</f>
        <v>IF ANY INTERNATIONAL COLLABORATION OR FOREIGN INVOLVEMENT IN THIS PROPOSAL IS EXPECTED PLEASE REVIEW THE INFORMATION FOUND AT http://www.orso.wsu.edu/international.asp</v>
      </c>
      <c r="G1" s="550"/>
      <c r="H1" s="549"/>
      <c r="I1" s="549"/>
      <c r="J1" s="549"/>
      <c r="K1" s="549"/>
      <c r="L1" s="549"/>
      <c r="M1" s="549"/>
      <c r="N1" s="548"/>
      <c r="O1" s="611"/>
      <c r="P1" s="546"/>
      <c r="Q1" s="546"/>
      <c r="R1" s="546"/>
      <c r="S1" s="546"/>
      <c r="T1" s="546"/>
      <c r="U1" s="546"/>
      <c r="V1" s="546"/>
    </row>
    <row r="2" spans="1:22" s="615" customFormat="1" ht="12.75" customHeight="1" thickBot="1">
      <c r="A2" s="612" t="s">
        <v>583</v>
      </c>
      <c r="B2" s="610"/>
      <c r="C2" s="613"/>
      <c r="D2" s="613"/>
      <c r="E2" s="613"/>
      <c r="F2" s="613"/>
      <c r="G2" s="614"/>
      <c r="H2" s="764" t="s">
        <v>550</v>
      </c>
      <c r="I2" s="765" t="s">
        <v>551</v>
      </c>
      <c r="J2" s="764" t="s">
        <v>552</v>
      </c>
      <c r="K2" s="765" t="s">
        <v>553</v>
      </c>
      <c r="L2" s="764" t="s">
        <v>554</v>
      </c>
      <c r="M2" s="765" t="s">
        <v>555</v>
      </c>
      <c r="N2" s="766" t="s">
        <v>339</v>
      </c>
      <c r="P2" s="1238" t="s">
        <v>736</v>
      </c>
      <c r="Q2" s="546"/>
      <c r="R2" s="546"/>
      <c r="S2" s="546"/>
      <c r="T2" s="546"/>
      <c r="U2" s="546"/>
      <c r="V2" s="546"/>
    </row>
    <row r="3" spans="1:22" s="615" customFormat="1" ht="12.75" customHeight="1">
      <c r="A3" s="547"/>
      <c r="B3" s="1424" t="s">
        <v>607</v>
      </c>
      <c r="C3" s="1424"/>
      <c r="D3" s="1424"/>
      <c r="E3" s="1424"/>
      <c r="F3" s="1424"/>
      <c r="G3" s="550"/>
      <c r="H3" s="775"/>
      <c r="I3" s="776"/>
      <c r="J3" s="775"/>
      <c r="K3" s="776"/>
      <c r="L3" s="775"/>
      <c r="M3" s="776"/>
      <c r="N3" s="803"/>
      <c r="O3" s="951"/>
      <c r="P3" s="1240" t="s">
        <v>738</v>
      </c>
      <c r="Q3" s="1231"/>
      <c r="R3" s="1232"/>
      <c r="S3" s="546"/>
      <c r="T3" s="546"/>
      <c r="U3" s="546"/>
      <c r="V3" s="546"/>
    </row>
    <row r="4" spans="1:22" s="615" customFormat="1" ht="12.75" customHeight="1">
      <c r="A4" s="616" t="s">
        <v>581</v>
      </c>
      <c r="G4" s="550"/>
      <c r="H4" s="777"/>
      <c r="I4" s="778"/>
      <c r="J4" s="777"/>
      <c r="K4" s="778"/>
      <c r="L4" s="777"/>
      <c r="M4" s="778"/>
      <c r="N4" s="818"/>
      <c r="P4" s="1241" t="s">
        <v>733</v>
      </c>
      <c r="Q4" s="1233"/>
      <c r="R4" s="1234"/>
      <c r="S4" s="546"/>
      <c r="T4" s="546"/>
      <c r="U4" s="546"/>
      <c r="V4" s="546"/>
    </row>
    <row r="5" spans="1:22" ht="12.75" customHeight="1" thickBot="1">
      <c r="A5" s="758" t="s">
        <v>613</v>
      </c>
      <c r="B5" s="759" t="s">
        <v>45</v>
      </c>
      <c r="C5" s="759" t="s">
        <v>46</v>
      </c>
      <c r="D5" s="759"/>
      <c r="E5" s="759" t="s">
        <v>37</v>
      </c>
      <c r="F5" s="760"/>
      <c r="G5" s="761"/>
      <c r="H5" s="762"/>
      <c r="I5" s="762"/>
      <c r="J5" s="762"/>
      <c r="K5" s="762"/>
      <c r="L5" s="762"/>
      <c r="M5" s="762"/>
      <c r="N5" s="763"/>
      <c r="O5" s="557"/>
      <c r="P5" s="1241" t="s">
        <v>734</v>
      </c>
      <c r="Q5" s="1233"/>
      <c r="R5" s="1234"/>
    </row>
    <row r="6" spans="1:22" ht="12.75" customHeight="1" thickBot="1">
      <c r="A6" s="553" t="s">
        <v>338</v>
      </c>
      <c r="B6" s="617">
        <v>0</v>
      </c>
      <c r="C6" s="618">
        <v>0</v>
      </c>
      <c r="D6" s="618"/>
      <c r="E6" s="619">
        <v>0</v>
      </c>
      <c r="F6" s="620"/>
      <c r="G6" s="621" t="s">
        <v>3</v>
      </c>
      <c r="H6" s="622">
        <f>ROUND(B6*C6*E6,0)</f>
        <v>0</v>
      </c>
      <c r="I6" s="623">
        <f>ROUND(H6*1.04,0)</f>
        <v>0</v>
      </c>
      <c r="J6" s="622">
        <f>ROUND(I6*1.04,0)</f>
        <v>0</v>
      </c>
      <c r="K6" s="624">
        <f>ROUND(J6*1.04,0)</f>
        <v>0</v>
      </c>
      <c r="L6" s="622">
        <f>ROUND(K6*1.04,0)</f>
        <v>0</v>
      </c>
      <c r="M6" s="624">
        <f>ROUND(L6*1.04,0)</f>
        <v>0</v>
      </c>
      <c r="N6" s="625">
        <f>SUM(H6:M6)</f>
        <v>0</v>
      </c>
      <c r="O6" s="557"/>
      <c r="P6" s="1242" t="s">
        <v>742</v>
      </c>
      <c r="Q6" s="1243"/>
      <c r="R6" s="1244"/>
    </row>
    <row r="7" spans="1:22" ht="12.75" customHeight="1">
      <c r="A7" s="626"/>
      <c r="B7" s="627"/>
      <c r="C7" s="628"/>
      <c r="D7" s="628"/>
      <c r="E7" s="629"/>
      <c r="F7" s="630" t="s">
        <v>11</v>
      </c>
      <c r="G7" s="631">
        <v>0.31228387518459322</v>
      </c>
      <c r="H7" s="625">
        <f t="shared" ref="H7:M7" si="0">ROUND(H6*$G7,0)</f>
        <v>0</v>
      </c>
      <c r="I7" s="624">
        <f t="shared" si="0"/>
        <v>0</v>
      </c>
      <c r="J7" s="625">
        <f t="shared" si="0"/>
        <v>0</v>
      </c>
      <c r="K7" s="624">
        <f t="shared" si="0"/>
        <v>0</v>
      </c>
      <c r="L7" s="625">
        <f t="shared" si="0"/>
        <v>0</v>
      </c>
      <c r="M7" s="624">
        <f t="shared" si="0"/>
        <v>0</v>
      </c>
      <c r="N7" s="625">
        <f t="shared" ref="N7:N27" si="1">SUM(H7:M7)</f>
        <v>0</v>
      </c>
      <c r="O7" s="557"/>
    </row>
    <row r="8" spans="1:22" ht="12.75" customHeight="1" thickBot="1">
      <c r="A8" s="553" t="s">
        <v>338</v>
      </c>
      <c r="B8" s="617">
        <v>0</v>
      </c>
      <c r="C8" s="618">
        <v>0</v>
      </c>
      <c r="D8" s="618"/>
      <c r="E8" s="619">
        <v>0</v>
      </c>
      <c r="F8" s="620"/>
      <c r="G8" s="621" t="s">
        <v>3</v>
      </c>
      <c r="H8" s="625">
        <f>ROUND(B8*C8*E8,0)</f>
        <v>0</v>
      </c>
      <c r="I8" s="624">
        <f>ROUND(H8*1.04,0)</f>
        <v>0</v>
      </c>
      <c r="J8" s="646">
        <f>ROUND(I8*1.04,0)</f>
        <v>0</v>
      </c>
      <c r="K8" s="646">
        <f>ROUND(J8*1.04,0)</f>
        <v>0</v>
      </c>
      <c r="L8" s="646">
        <f>ROUND(K8*1.04,0)</f>
        <v>0</v>
      </c>
      <c r="M8" s="625">
        <f>ROUND(L8*1.04,0)</f>
        <v>0</v>
      </c>
      <c r="N8" s="625">
        <f t="shared" si="1"/>
        <v>0</v>
      </c>
      <c r="O8" s="557"/>
    </row>
    <row r="9" spans="1:22" ht="12.75" customHeight="1" thickBot="1">
      <c r="A9" s="626"/>
      <c r="B9" s="627"/>
      <c r="C9" s="628"/>
      <c r="D9" s="628"/>
      <c r="E9" s="629"/>
      <c r="F9" s="630" t="s">
        <v>4</v>
      </c>
      <c r="G9" s="631">
        <v>0.31228387518459322</v>
      </c>
      <c r="H9" s="625">
        <f t="shared" ref="H9:M9" si="2">ROUND(H8*$G9,0)</f>
        <v>0</v>
      </c>
      <c r="I9" s="624">
        <f t="shared" si="2"/>
        <v>0</v>
      </c>
      <c r="J9" s="625">
        <f t="shared" si="2"/>
        <v>0</v>
      </c>
      <c r="K9" s="624">
        <f t="shared" si="2"/>
        <v>0</v>
      </c>
      <c r="L9" s="625">
        <f t="shared" si="2"/>
        <v>0</v>
      </c>
      <c r="M9" s="625">
        <f t="shared" si="2"/>
        <v>0</v>
      </c>
      <c r="N9" s="625">
        <f t="shared" si="1"/>
        <v>0</v>
      </c>
      <c r="O9" s="557"/>
      <c r="P9" s="1235" t="s">
        <v>735</v>
      </c>
    </row>
    <row r="10" spans="1:22" ht="12.75" customHeight="1" thickBot="1">
      <c r="A10" s="632" t="s">
        <v>104</v>
      </c>
      <c r="B10" s="633">
        <v>0</v>
      </c>
      <c r="C10" s="634">
        <v>0</v>
      </c>
      <c r="D10" s="634"/>
      <c r="E10" s="635">
        <v>0</v>
      </c>
      <c r="F10" s="636"/>
      <c r="G10" s="637" t="s">
        <v>3</v>
      </c>
      <c r="H10" s="625">
        <f>ROUND(B10*C10*E10,0)</f>
        <v>0</v>
      </c>
      <c r="I10" s="624">
        <f>ROUND(H10*1.04,0)</f>
        <v>0</v>
      </c>
      <c r="J10" s="625">
        <f>ROUND(I10*1.04,0)</f>
        <v>0</v>
      </c>
      <c r="K10" s="624">
        <f>ROUND(J10*1.04,0)</f>
        <v>0</v>
      </c>
      <c r="L10" s="625">
        <f>ROUND(K10*1.04,0)</f>
        <v>0</v>
      </c>
      <c r="M10" s="624">
        <f>ROUND(L10*1.04,0)</f>
        <v>0</v>
      </c>
      <c r="N10" s="625">
        <f t="shared" si="1"/>
        <v>0</v>
      </c>
      <c r="O10" s="557"/>
      <c r="P10" s="1237" t="s">
        <v>737</v>
      </c>
      <c r="Q10" s="1229"/>
      <c r="R10" s="1229"/>
      <c r="S10" s="1229"/>
      <c r="T10" s="1230"/>
    </row>
    <row r="11" spans="1:22" ht="12.75" customHeight="1" thickBot="1">
      <c r="A11" s="638"/>
      <c r="B11" s="627"/>
      <c r="C11" s="628"/>
      <c r="D11" s="628"/>
      <c r="E11" s="629"/>
      <c r="F11" s="630" t="s">
        <v>4</v>
      </c>
      <c r="G11" s="631">
        <v>0.31228387518459322</v>
      </c>
      <c r="H11" s="625">
        <f t="shared" ref="H11:M11" si="3">ROUND(H10*$G11,0)</f>
        <v>0</v>
      </c>
      <c r="I11" s="624">
        <f t="shared" si="3"/>
        <v>0</v>
      </c>
      <c r="J11" s="625">
        <f t="shared" si="3"/>
        <v>0</v>
      </c>
      <c r="K11" s="624">
        <f t="shared" si="3"/>
        <v>0</v>
      </c>
      <c r="L11" s="625">
        <f t="shared" si="3"/>
        <v>0</v>
      </c>
      <c r="M11" s="624">
        <f t="shared" si="3"/>
        <v>0</v>
      </c>
      <c r="N11" s="625">
        <f t="shared" si="1"/>
        <v>0</v>
      </c>
      <c r="O11" s="557"/>
    </row>
    <row r="12" spans="1:22" ht="12.75" customHeight="1">
      <c r="A12" s="553" t="s">
        <v>104</v>
      </c>
      <c r="B12" s="617">
        <v>0</v>
      </c>
      <c r="C12" s="618">
        <v>0</v>
      </c>
      <c r="D12" s="618"/>
      <c r="E12" s="619">
        <v>0</v>
      </c>
      <c r="F12" s="620"/>
      <c r="G12" s="621" t="s">
        <v>3</v>
      </c>
      <c r="H12" s="625">
        <f>ROUND(B12*C12*E12,0)</f>
        <v>0</v>
      </c>
      <c r="I12" s="624">
        <f>ROUND(H12*1.04,0)</f>
        <v>0</v>
      </c>
      <c r="J12" s="625">
        <f>ROUND(I12*1.04,0)</f>
        <v>0</v>
      </c>
      <c r="K12" s="624">
        <f>ROUND(J12*1.04,0)</f>
        <v>0</v>
      </c>
      <c r="L12" s="625">
        <f>ROUND(K12*1.04,0)</f>
        <v>0</v>
      </c>
      <c r="M12" s="624">
        <f>ROUND(L12*1.04,0)</f>
        <v>0</v>
      </c>
      <c r="N12" s="625">
        <f t="shared" si="1"/>
        <v>0</v>
      </c>
      <c r="O12" s="557"/>
      <c r="P12" s="1297" t="s">
        <v>757</v>
      </c>
      <c r="Q12" s="1298"/>
      <c r="R12" s="1298"/>
      <c r="S12" s="1298"/>
      <c r="T12" s="1299"/>
    </row>
    <row r="13" spans="1:22" ht="12.75" customHeight="1" thickBot="1">
      <c r="A13" s="638"/>
      <c r="B13" s="627"/>
      <c r="C13" s="628"/>
      <c r="D13" s="628"/>
      <c r="E13" s="629"/>
      <c r="F13" s="630" t="s">
        <v>4</v>
      </c>
      <c r="G13" s="631">
        <v>0.31228387518459322</v>
      </c>
      <c r="H13" s="625">
        <f t="shared" ref="H13:M13" si="4">ROUND(H12*$G13,0)</f>
        <v>0</v>
      </c>
      <c r="I13" s="624">
        <f t="shared" si="4"/>
        <v>0</v>
      </c>
      <c r="J13" s="625">
        <f t="shared" si="4"/>
        <v>0</v>
      </c>
      <c r="K13" s="624">
        <f t="shared" si="4"/>
        <v>0</v>
      </c>
      <c r="L13" s="625">
        <f t="shared" si="4"/>
        <v>0</v>
      </c>
      <c r="M13" s="624">
        <f t="shared" si="4"/>
        <v>0</v>
      </c>
      <c r="N13" s="625">
        <f t="shared" si="1"/>
        <v>0</v>
      </c>
      <c r="O13" s="557"/>
      <c r="P13" s="1300" t="s">
        <v>756</v>
      </c>
      <c r="Q13" s="1301"/>
      <c r="R13" s="1301"/>
      <c r="S13" s="1301"/>
      <c r="T13" s="1244"/>
    </row>
    <row r="14" spans="1:22" ht="12.75" customHeight="1">
      <c r="A14" s="553" t="s">
        <v>104</v>
      </c>
      <c r="B14" s="617">
        <v>0</v>
      </c>
      <c r="C14" s="618">
        <v>0</v>
      </c>
      <c r="D14" s="618"/>
      <c r="E14" s="619">
        <v>0</v>
      </c>
      <c r="F14" s="620"/>
      <c r="G14" s="621" t="s">
        <v>3</v>
      </c>
      <c r="H14" s="625">
        <f>ROUND(B14*C14*E14,0)</f>
        <v>0</v>
      </c>
      <c r="I14" s="624">
        <f>ROUND(H14*1.04,0)</f>
        <v>0</v>
      </c>
      <c r="J14" s="625">
        <f>ROUND(I14*1.04,0)</f>
        <v>0</v>
      </c>
      <c r="K14" s="624">
        <f>ROUND(J14*1.04,0)</f>
        <v>0</v>
      </c>
      <c r="L14" s="625">
        <f>ROUND(K14*1.04,0)</f>
        <v>0</v>
      </c>
      <c r="M14" s="624">
        <f>ROUND(L14*1.04,0)</f>
        <v>0</v>
      </c>
      <c r="N14" s="625">
        <f t="shared" si="1"/>
        <v>0</v>
      </c>
    </row>
    <row r="15" spans="1:22" ht="12.75" customHeight="1">
      <c r="A15" s="638"/>
      <c r="B15" s="627"/>
      <c r="C15" s="628"/>
      <c r="D15" s="628"/>
      <c r="E15" s="629"/>
      <c r="F15" s="630" t="s">
        <v>4</v>
      </c>
      <c r="G15" s="631">
        <v>0.31228387518459322</v>
      </c>
      <c r="H15" s="625">
        <f t="shared" ref="H15:M15" si="5">ROUND(H14*$G15,0)</f>
        <v>0</v>
      </c>
      <c r="I15" s="625">
        <f t="shared" si="5"/>
        <v>0</v>
      </c>
      <c r="J15" s="625">
        <f t="shared" si="5"/>
        <v>0</v>
      </c>
      <c r="K15" s="625">
        <f t="shared" si="5"/>
        <v>0</v>
      </c>
      <c r="L15" s="625">
        <f t="shared" si="5"/>
        <v>0</v>
      </c>
      <c r="M15" s="625">
        <f t="shared" si="5"/>
        <v>0</v>
      </c>
      <c r="N15" s="625">
        <f t="shared" si="1"/>
        <v>0</v>
      </c>
      <c r="O15" s="557"/>
      <c r="Q15" s="546" t="s">
        <v>143</v>
      </c>
    </row>
    <row r="16" spans="1:22" ht="12.75" customHeight="1">
      <c r="A16" s="553" t="s">
        <v>106</v>
      </c>
      <c r="B16" s="617">
        <v>0</v>
      </c>
      <c r="C16" s="618">
        <v>0</v>
      </c>
      <c r="D16" s="618"/>
      <c r="E16" s="619">
        <v>0</v>
      </c>
      <c r="F16" s="620"/>
      <c r="G16" s="621" t="s">
        <v>3</v>
      </c>
      <c r="H16" s="625">
        <f>ROUND(B16*C16*E16,0)</f>
        <v>0</v>
      </c>
      <c r="I16" s="624">
        <f>ROUND(H16*1.04,0)</f>
        <v>0</v>
      </c>
      <c r="J16" s="646">
        <f>ROUND(I16*1.04,0)</f>
        <v>0</v>
      </c>
      <c r="K16" s="646">
        <f>ROUND(J16*1.04,0)</f>
        <v>0</v>
      </c>
      <c r="L16" s="646">
        <f>ROUND(K16*1.04,0)</f>
        <v>0</v>
      </c>
      <c r="M16" s="625">
        <f>ROUND(L16*1.04,0)</f>
        <v>0</v>
      </c>
      <c r="N16" s="625">
        <f t="shared" si="1"/>
        <v>0</v>
      </c>
      <c r="O16" s="557"/>
    </row>
    <row r="17" spans="1:22" ht="12.75" customHeight="1">
      <c r="A17" s="638"/>
      <c r="B17" s="627"/>
      <c r="C17" s="628"/>
      <c r="D17" s="628"/>
      <c r="E17" s="629"/>
      <c r="F17" s="630" t="s">
        <v>4</v>
      </c>
      <c r="G17" s="631">
        <v>0.35175650886738824</v>
      </c>
      <c r="H17" s="625">
        <f t="shared" ref="H17:M17" si="6">ROUND(H16*$G17,0)</f>
        <v>0</v>
      </c>
      <c r="I17" s="624">
        <f t="shared" si="6"/>
        <v>0</v>
      </c>
      <c r="J17" s="625">
        <f t="shared" si="6"/>
        <v>0</v>
      </c>
      <c r="K17" s="624">
        <f t="shared" si="6"/>
        <v>0</v>
      </c>
      <c r="L17" s="625">
        <f t="shared" si="6"/>
        <v>0</v>
      </c>
      <c r="M17" s="624">
        <f t="shared" si="6"/>
        <v>0</v>
      </c>
      <c r="N17" s="625">
        <f t="shared" si="1"/>
        <v>0</v>
      </c>
      <c r="O17" s="557"/>
      <c r="P17" s="554"/>
      <c r="Q17" s="554"/>
      <c r="R17" s="554"/>
      <c r="S17" s="554"/>
      <c r="T17" s="554"/>
      <c r="U17" s="554"/>
      <c r="V17" s="554"/>
    </row>
    <row r="18" spans="1:22" ht="12.75" customHeight="1">
      <c r="A18" s="632" t="s">
        <v>727</v>
      </c>
      <c r="B18" s="633">
        <v>0</v>
      </c>
      <c r="C18" s="634">
        <v>0</v>
      </c>
      <c r="D18" s="634"/>
      <c r="E18" s="635">
        <v>0</v>
      </c>
      <c r="F18" s="636"/>
      <c r="G18" s="637" t="s">
        <v>3</v>
      </c>
      <c r="H18" s="625">
        <f>ROUND(B18*C18*E18,0)</f>
        <v>0</v>
      </c>
      <c r="I18" s="624">
        <f>ROUND(H18*1.04,0)</f>
        <v>0</v>
      </c>
      <c r="J18" s="625">
        <f>ROUND(I18*1.04,0)</f>
        <v>0</v>
      </c>
      <c r="K18" s="624">
        <f>ROUND(J18*1.04,0)</f>
        <v>0</v>
      </c>
      <c r="L18" s="625">
        <f>ROUND(K18*1.04,0)</f>
        <v>0</v>
      </c>
      <c r="M18" s="624">
        <f>ROUND(L18*1.04,0)</f>
        <v>0</v>
      </c>
      <c r="N18" s="625">
        <f t="shared" si="1"/>
        <v>0</v>
      </c>
      <c r="O18" s="557"/>
      <c r="P18" s="554"/>
      <c r="Q18" s="554"/>
      <c r="R18" s="554"/>
      <c r="S18" s="554"/>
      <c r="T18" s="554"/>
      <c r="U18" s="554"/>
      <c r="V18" s="554"/>
    </row>
    <row r="19" spans="1:22" ht="12.75" customHeight="1">
      <c r="A19" s="638"/>
      <c r="B19" s="639"/>
      <c r="C19" s="640"/>
      <c r="D19" s="640"/>
      <c r="E19" s="641"/>
      <c r="F19" s="630" t="s">
        <v>4</v>
      </c>
      <c r="G19" s="631">
        <v>0.42515173030422782</v>
      </c>
      <c r="H19" s="625">
        <f t="shared" ref="H19:M19" si="7">ROUND(H18*$G19,0)</f>
        <v>0</v>
      </c>
      <c r="I19" s="624">
        <f t="shared" si="7"/>
        <v>0</v>
      </c>
      <c r="J19" s="625">
        <f t="shared" si="7"/>
        <v>0</v>
      </c>
      <c r="K19" s="624">
        <f t="shared" si="7"/>
        <v>0</v>
      </c>
      <c r="L19" s="625">
        <f t="shared" si="7"/>
        <v>0</v>
      </c>
      <c r="M19" s="624">
        <f t="shared" si="7"/>
        <v>0</v>
      </c>
      <c r="N19" s="625">
        <f t="shared" si="1"/>
        <v>0</v>
      </c>
      <c r="O19" s="557"/>
      <c r="P19" s="554"/>
      <c r="Q19" s="554"/>
      <c r="R19" s="554"/>
      <c r="S19" s="554"/>
      <c r="T19" s="554"/>
      <c r="U19" s="554"/>
      <c r="V19" s="554"/>
    </row>
    <row r="20" spans="1:22" ht="12.75" customHeight="1">
      <c r="A20" s="553" t="s">
        <v>556</v>
      </c>
      <c r="B20" s="642"/>
      <c r="C20" s="643"/>
      <c r="D20" s="643"/>
      <c r="E20" s="644" t="s">
        <v>143</v>
      </c>
      <c r="G20" s="621" t="s">
        <v>3</v>
      </c>
      <c r="H20" s="625">
        <v>0</v>
      </c>
      <c r="I20" s="624">
        <f t="shared" ref="I20:M22" si="8">ROUND(H20*1.04,0)</f>
        <v>0</v>
      </c>
      <c r="J20" s="625">
        <f t="shared" si="8"/>
        <v>0</v>
      </c>
      <c r="K20" s="624">
        <f t="shared" si="8"/>
        <v>0</v>
      </c>
      <c r="L20" s="625">
        <f t="shared" si="8"/>
        <v>0</v>
      </c>
      <c r="M20" s="624">
        <f t="shared" si="8"/>
        <v>0</v>
      </c>
      <c r="N20" s="625">
        <f t="shared" si="1"/>
        <v>0</v>
      </c>
      <c r="O20" s="557"/>
      <c r="P20" s="554"/>
      <c r="Q20" s="554"/>
      <c r="R20" s="554"/>
      <c r="S20" s="554"/>
      <c r="T20" s="554"/>
      <c r="U20" s="554"/>
      <c r="V20" s="554"/>
    </row>
    <row r="21" spans="1:22" ht="12.75" customHeight="1">
      <c r="A21" s="756" t="s">
        <v>686</v>
      </c>
      <c r="B21" s="757"/>
      <c r="C21" s="650"/>
      <c r="D21" s="650"/>
      <c r="E21" s="641"/>
      <c r="G21" s="645" t="s">
        <v>5</v>
      </c>
      <c r="H21" s="945">
        <v>0</v>
      </c>
      <c r="I21" s="624">
        <f t="shared" si="8"/>
        <v>0</v>
      </c>
      <c r="J21" s="945">
        <f t="shared" si="8"/>
        <v>0</v>
      </c>
      <c r="K21" s="624">
        <f t="shared" si="8"/>
        <v>0</v>
      </c>
      <c r="L21" s="945">
        <f t="shared" si="8"/>
        <v>0</v>
      </c>
      <c r="M21" s="624">
        <f t="shared" si="8"/>
        <v>0</v>
      </c>
      <c r="N21" s="945">
        <f t="shared" si="1"/>
        <v>0</v>
      </c>
      <c r="O21" s="557"/>
      <c r="P21" s="554"/>
      <c r="Q21" s="554"/>
      <c r="R21" s="554"/>
      <c r="S21" s="554"/>
      <c r="T21" s="554"/>
      <c r="U21" s="554"/>
      <c r="V21" s="554"/>
    </row>
    <row r="22" spans="1:22" ht="12.75" customHeight="1">
      <c r="A22" s="1171"/>
      <c r="B22" s="1172"/>
      <c r="C22" s="1173"/>
      <c r="D22" s="1173"/>
      <c r="E22" s="1174"/>
      <c r="F22" s="1175"/>
      <c r="G22" s="1176"/>
      <c r="H22" s="1177">
        <v>0</v>
      </c>
      <c r="I22" s="1178">
        <f t="shared" si="8"/>
        <v>0</v>
      </c>
      <c r="J22" s="1177">
        <f t="shared" si="8"/>
        <v>0</v>
      </c>
      <c r="K22" s="1178">
        <f t="shared" si="8"/>
        <v>0</v>
      </c>
      <c r="L22" s="1177">
        <f t="shared" si="8"/>
        <v>0</v>
      </c>
      <c r="M22" s="1178">
        <f t="shared" si="8"/>
        <v>0</v>
      </c>
      <c r="N22" s="1177">
        <f t="shared" si="1"/>
        <v>0</v>
      </c>
      <c r="O22" s="557"/>
      <c r="P22" s="554"/>
      <c r="Q22" s="1040"/>
      <c r="R22" s="554"/>
      <c r="S22" s="554"/>
      <c r="T22" s="554"/>
      <c r="U22" s="554"/>
      <c r="V22" s="554"/>
    </row>
    <row r="23" spans="1:22" ht="12.75" customHeight="1">
      <c r="A23" s="648"/>
      <c r="B23" s="649"/>
      <c r="C23" s="650"/>
      <c r="D23" s="650"/>
      <c r="E23" s="641"/>
      <c r="F23" s="651" t="s">
        <v>11</v>
      </c>
      <c r="G23" s="652">
        <v>0.153711544903991</v>
      </c>
      <c r="H23" s="625">
        <f t="shared" ref="H23:M23" si="9">ROUND(H20*$G$23,0)</f>
        <v>0</v>
      </c>
      <c r="I23" s="624">
        <f t="shared" si="9"/>
        <v>0</v>
      </c>
      <c r="J23" s="625">
        <f t="shared" si="9"/>
        <v>0</v>
      </c>
      <c r="K23" s="624">
        <f t="shared" si="9"/>
        <v>0</v>
      </c>
      <c r="L23" s="625">
        <f t="shared" si="9"/>
        <v>0</v>
      </c>
      <c r="M23" s="624">
        <f t="shared" si="9"/>
        <v>0</v>
      </c>
      <c r="N23" s="625">
        <f t="shared" si="1"/>
        <v>0</v>
      </c>
      <c r="O23" s="557"/>
      <c r="P23" s="554"/>
      <c r="Q23" s="1040"/>
      <c r="R23" s="554"/>
      <c r="S23" s="554"/>
      <c r="T23" s="554"/>
      <c r="U23" s="554"/>
      <c r="V23" s="554"/>
    </row>
    <row r="24" spans="1:22" ht="12.75" customHeight="1">
      <c r="A24" s="653" t="s">
        <v>557</v>
      </c>
      <c r="B24" s="642"/>
      <c r="C24" s="643"/>
      <c r="D24" s="643"/>
      <c r="E24" s="644" t="s">
        <v>143</v>
      </c>
      <c r="F24" s="654"/>
      <c r="G24" s="655" t="s">
        <v>3</v>
      </c>
      <c r="H24" s="625">
        <v>0</v>
      </c>
      <c r="I24" s="624">
        <f t="shared" ref="I24:M26" si="10">ROUND(H24*1.04,0)</f>
        <v>0</v>
      </c>
      <c r="J24" s="625">
        <f t="shared" si="10"/>
        <v>0</v>
      </c>
      <c r="K24" s="624">
        <f t="shared" si="10"/>
        <v>0</v>
      </c>
      <c r="L24" s="625">
        <f t="shared" si="10"/>
        <v>0</v>
      </c>
      <c r="M24" s="624">
        <f t="shared" si="10"/>
        <v>0</v>
      </c>
      <c r="N24" s="625">
        <f t="shared" si="1"/>
        <v>0</v>
      </c>
      <c r="O24" s="557"/>
      <c r="P24" s="554"/>
      <c r="Q24" s="1040"/>
      <c r="R24" s="554"/>
      <c r="S24" s="554"/>
      <c r="T24" s="554"/>
      <c r="U24" s="554"/>
      <c r="V24" s="554"/>
    </row>
    <row r="25" spans="1:22" ht="12.75" customHeight="1">
      <c r="A25" s="756" t="s">
        <v>686</v>
      </c>
      <c r="B25" s="757"/>
      <c r="C25" s="650"/>
      <c r="D25" s="650"/>
      <c r="E25" s="641"/>
      <c r="G25" s="645" t="s">
        <v>5</v>
      </c>
      <c r="H25" s="945">
        <v>0</v>
      </c>
      <c r="I25" s="624">
        <f t="shared" si="10"/>
        <v>0</v>
      </c>
      <c r="J25" s="945">
        <f t="shared" si="10"/>
        <v>0</v>
      </c>
      <c r="K25" s="624">
        <f t="shared" si="10"/>
        <v>0</v>
      </c>
      <c r="L25" s="945">
        <f t="shared" si="10"/>
        <v>0</v>
      </c>
      <c r="M25" s="624">
        <f t="shared" si="10"/>
        <v>0</v>
      </c>
      <c r="N25" s="945">
        <f t="shared" si="1"/>
        <v>0</v>
      </c>
      <c r="O25" s="557"/>
      <c r="P25" s="554"/>
      <c r="Q25" s="1040"/>
      <c r="R25" s="554"/>
      <c r="S25" s="554"/>
      <c r="T25" s="554"/>
      <c r="U25" s="554"/>
      <c r="V25" s="554"/>
    </row>
    <row r="26" spans="1:22" ht="12.75" customHeight="1">
      <c r="A26" s="1171"/>
      <c r="B26" s="1172"/>
      <c r="C26" s="1173"/>
      <c r="D26" s="1173"/>
      <c r="E26" s="1174"/>
      <c r="F26" s="1175"/>
      <c r="G26" s="1176"/>
      <c r="H26" s="1177">
        <v>0</v>
      </c>
      <c r="I26" s="1178">
        <f t="shared" si="10"/>
        <v>0</v>
      </c>
      <c r="J26" s="1177">
        <f t="shared" si="10"/>
        <v>0</v>
      </c>
      <c r="K26" s="1178">
        <f t="shared" si="10"/>
        <v>0</v>
      </c>
      <c r="L26" s="1177">
        <f t="shared" si="10"/>
        <v>0</v>
      </c>
      <c r="M26" s="1178">
        <f t="shared" si="10"/>
        <v>0</v>
      </c>
      <c r="N26" s="1177">
        <f t="shared" si="1"/>
        <v>0</v>
      </c>
      <c r="O26" s="557"/>
      <c r="P26" s="554"/>
      <c r="Q26" s="1040"/>
      <c r="R26" s="554"/>
      <c r="S26" s="554"/>
      <c r="T26" s="554"/>
      <c r="U26" s="554"/>
      <c r="V26" s="554"/>
    </row>
    <row r="27" spans="1:22" ht="12.75" customHeight="1" thickBot="1">
      <c r="A27" s="648"/>
      <c r="B27" s="649"/>
      <c r="C27" s="650"/>
      <c r="D27" s="650"/>
      <c r="E27" s="641"/>
      <c r="F27" s="651" t="s">
        <v>11</v>
      </c>
      <c r="G27" s="652">
        <v>0.153711544903991</v>
      </c>
      <c r="H27" s="656">
        <f t="shared" ref="H27:M27" si="11">ROUND(H24*$G$27,0)</f>
        <v>0</v>
      </c>
      <c r="I27" s="624">
        <f t="shared" si="11"/>
        <v>0</v>
      </c>
      <c r="J27" s="656">
        <f t="shared" si="11"/>
        <v>0</v>
      </c>
      <c r="K27" s="624">
        <f t="shared" si="11"/>
        <v>0</v>
      </c>
      <c r="L27" s="656">
        <f t="shared" si="11"/>
        <v>0</v>
      </c>
      <c r="M27" s="624">
        <f t="shared" si="11"/>
        <v>0</v>
      </c>
      <c r="N27" s="625">
        <f t="shared" si="1"/>
        <v>0</v>
      </c>
      <c r="O27" s="557"/>
      <c r="P27" s="554"/>
      <c r="Q27" s="554"/>
      <c r="R27" s="554"/>
      <c r="S27" s="554"/>
      <c r="T27" s="554"/>
      <c r="U27" s="554"/>
      <c r="V27" s="554"/>
    </row>
    <row r="28" spans="1:22" ht="12.75" customHeight="1" thickBot="1">
      <c r="A28" s="767" t="s">
        <v>614</v>
      </c>
      <c r="B28" s="768" t="s">
        <v>47</v>
      </c>
      <c r="C28" s="768" t="s">
        <v>103</v>
      </c>
      <c r="D28" s="768"/>
      <c r="E28" s="768" t="s">
        <v>48</v>
      </c>
      <c r="F28" s="769"/>
      <c r="G28" s="770"/>
      <c r="H28" s="771"/>
      <c r="I28" s="771"/>
      <c r="J28" s="771"/>
      <c r="K28" s="771"/>
      <c r="L28" s="771"/>
      <c r="M28" s="771"/>
      <c r="N28" s="772"/>
      <c r="O28" s="557"/>
      <c r="P28" s="554"/>
      <c r="Q28" s="554"/>
      <c r="R28" s="554"/>
      <c r="S28" s="554"/>
      <c r="T28" s="554"/>
      <c r="U28" s="554"/>
      <c r="V28" s="554"/>
    </row>
    <row r="29" spans="1:22" ht="12.75" customHeight="1">
      <c r="A29" s="657" t="s">
        <v>101</v>
      </c>
      <c r="B29" s="658">
        <v>0</v>
      </c>
      <c r="C29" s="659">
        <v>0</v>
      </c>
      <c r="D29" s="659"/>
      <c r="E29" s="659">
        <v>0</v>
      </c>
      <c r="F29" s="621"/>
      <c r="G29" s="621" t="s">
        <v>6</v>
      </c>
      <c r="H29" s="660">
        <f>ROUND(B29*C29*E29,0)</f>
        <v>0</v>
      </c>
      <c r="I29" s="622">
        <f>ROUND(H29*1.04,0)</f>
        <v>0</v>
      </c>
      <c r="J29" s="624">
        <f>ROUND(I29*1.04,0)</f>
        <v>0</v>
      </c>
      <c r="K29" s="622">
        <f>ROUND(J29*1.04,0)</f>
        <v>0</v>
      </c>
      <c r="L29" s="624">
        <f>ROUND(K29*1.04,0)</f>
        <v>0</v>
      </c>
      <c r="M29" s="622">
        <f>ROUND(L29*1.04,0)</f>
        <v>0</v>
      </c>
      <c r="N29" s="625">
        <f>SUM(H29:M29)</f>
        <v>0</v>
      </c>
      <c r="O29" s="557"/>
      <c r="P29" s="554"/>
      <c r="Q29" s="554"/>
      <c r="R29" s="554"/>
      <c r="S29" s="554"/>
      <c r="T29" s="554"/>
      <c r="U29" s="554"/>
      <c r="V29" s="554"/>
    </row>
    <row r="30" spans="1:22" ht="12.75" customHeight="1">
      <c r="A30" s="661"/>
      <c r="B30" s="662"/>
      <c r="C30" s="663"/>
      <c r="D30" s="663"/>
      <c r="E30" s="663"/>
      <c r="F30" s="630" t="s">
        <v>4</v>
      </c>
      <c r="G30" s="631">
        <v>2.2021918678526046E-2</v>
      </c>
      <c r="H30" s="646">
        <f>ROUND(H29*$G$30,0)</f>
        <v>0</v>
      </c>
      <c r="I30" s="625">
        <f>ROUND(I29*$G$30,0)</f>
        <v>0</v>
      </c>
      <c r="J30" s="624">
        <f>ROUND(J29*$G$30,0)</f>
        <v>0</v>
      </c>
      <c r="K30" s="625">
        <f>ROUND(K29*$G$30,0)</f>
        <v>0</v>
      </c>
      <c r="L30" s="624">
        <f>ROUND(L29*$G$30,0)</f>
        <v>0</v>
      </c>
      <c r="M30" s="625">
        <f t="shared" ref="M30:M38" si="12">ROUND(L30*1.04,0)</f>
        <v>0</v>
      </c>
      <c r="N30" s="625">
        <f t="shared" ref="N30:N38" si="13">SUM(H30:M30)</f>
        <v>0</v>
      </c>
      <c r="O30" s="557"/>
      <c r="P30" s="554"/>
      <c r="Q30" s="554"/>
      <c r="R30" s="554"/>
      <c r="S30" s="554"/>
      <c r="T30" s="554"/>
      <c r="U30" s="554"/>
      <c r="V30" s="554"/>
    </row>
    <row r="31" spans="1:22" ht="12.75" customHeight="1">
      <c r="A31" s="657" t="s">
        <v>224</v>
      </c>
      <c r="B31" s="658">
        <v>0</v>
      </c>
      <c r="C31" s="659">
        <v>0</v>
      </c>
      <c r="D31" s="659"/>
      <c r="E31" s="659">
        <v>0</v>
      </c>
      <c r="F31" s="621"/>
      <c r="G31" s="621" t="s">
        <v>6</v>
      </c>
      <c r="H31" s="646">
        <f>ROUND(B31*C31*E31,0)</f>
        <v>0</v>
      </c>
      <c r="I31" s="625">
        <f>ROUND(H31*1.04,0)</f>
        <v>0</v>
      </c>
      <c r="J31" s="624">
        <f>ROUND(I31*1.04,0)</f>
        <v>0</v>
      </c>
      <c r="K31" s="625">
        <f>ROUND(J31*1.04,0)</f>
        <v>0</v>
      </c>
      <c r="L31" s="624">
        <f>ROUND(K31*1.04,0)</f>
        <v>0</v>
      </c>
      <c r="M31" s="625">
        <f t="shared" si="12"/>
        <v>0</v>
      </c>
      <c r="N31" s="625">
        <f t="shared" si="13"/>
        <v>0</v>
      </c>
      <c r="O31" s="557"/>
      <c r="P31" s="554"/>
      <c r="Q31" s="554"/>
      <c r="R31" s="554"/>
      <c r="S31" s="554"/>
      <c r="T31" s="554"/>
      <c r="U31" s="554"/>
      <c r="V31" s="554"/>
    </row>
    <row r="32" spans="1:22" ht="12.75" customHeight="1">
      <c r="A32" s="661"/>
      <c r="B32" s="662"/>
      <c r="C32" s="663"/>
      <c r="D32" s="663"/>
      <c r="E32" s="663"/>
      <c r="F32" s="630" t="s">
        <v>4</v>
      </c>
      <c r="G32" s="631">
        <v>0.1</v>
      </c>
      <c r="H32" s="646">
        <f>ROUND(H31*$G$32,0)</f>
        <v>0</v>
      </c>
      <c r="I32" s="625">
        <f>ROUND(I31*$G$32,0)</f>
        <v>0</v>
      </c>
      <c r="J32" s="624">
        <f>ROUND(J31*$G$32,0)</f>
        <v>0</v>
      </c>
      <c r="K32" s="625">
        <f>ROUND(K31*$G$32,0)</f>
        <v>0</v>
      </c>
      <c r="L32" s="624">
        <f>ROUND(L31*$G$32,0)</f>
        <v>0</v>
      </c>
      <c r="M32" s="625">
        <f t="shared" si="12"/>
        <v>0</v>
      </c>
      <c r="N32" s="625">
        <f t="shared" si="13"/>
        <v>0</v>
      </c>
      <c r="O32" s="557"/>
      <c r="P32" s="554"/>
      <c r="Q32" s="554"/>
      <c r="R32" s="554"/>
      <c r="S32" s="554"/>
      <c r="T32" s="554"/>
      <c r="U32" s="554"/>
      <c r="V32" s="554"/>
    </row>
    <row r="33" spans="1:22" ht="12.75" customHeight="1">
      <c r="A33" s="653" t="s">
        <v>167</v>
      </c>
      <c r="B33" s="664">
        <v>0</v>
      </c>
      <c r="C33" s="665">
        <v>0</v>
      </c>
      <c r="D33" s="665"/>
      <c r="E33" s="665">
        <v>0</v>
      </c>
      <c r="F33" s="637"/>
      <c r="G33" s="637" t="s">
        <v>6</v>
      </c>
      <c r="H33" s="646">
        <f>ROUND(B33*C33*E33,0)</f>
        <v>0</v>
      </c>
      <c r="I33" s="625">
        <f>ROUND(H33*1.04,0)</f>
        <v>0</v>
      </c>
      <c r="J33" s="624">
        <f>ROUND(I33*1.04,0)</f>
        <v>0</v>
      </c>
      <c r="K33" s="625">
        <f>ROUND(J33*1.04,0)</f>
        <v>0</v>
      </c>
      <c r="L33" s="624">
        <f>ROUND(K33*1.04,0)</f>
        <v>0</v>
      </c>
      <c r="M33" s="625">
        <f t="shared" si="12"/>
        <v>0</v>
      </c>
      <c r="N33" s="625">
        <f t="shared" si="13"/>
        <v>0</v>
      </c>
      <c r="O33" s="557"/>
      <c r="P33" s="554"/>
      <c r="Q33" s="554"/>
      <c r="R33" s="554"/>
      <c r="S33" s="554"/>
      <c r="T33" s="554"/>
      <c r="U33" s="554"/>
      <c r="V33" s="554"/>
    </row>
    <row r="34" spans="1:22" ht="12.75" customHeight="1">
      <c r="A34" s="661"/>
      <c r="B34" s="662"/>
      <c r="C34" s="663"/>
      <c r="D34" s="663"/>
      <c r="E34" s="663"/>
      <c r="F34" s="630" t="s">
        <v>4</v>
      </c>
      <c r="G34" s="631">
        <v>0.10070111867852601</v>
      </c>
      <c r="H34" s="646">
        <f>ROUND(H33*$G$34,0)</f>
        <v>0</v>
      </c>
      <c r="I34" s="625">
        <f>ROUND(I33*$G$34,0)</f>
        <v>0</v>
      </c>
      <c r="J34" s="624">
        <f>ROUND(J33*$G$34,0)</f>
        <v>0</v>
      </c>
      <c r="K34" s="625">
        <f>ROUND(K33*$G$34,0)</f>
        <v>0</v>
      </c>
      <c r="L34" s="624">
        <f>ROUND(L33*$G$34,0)</f>
        <v>0</v>
      </c>
      <c r="M34" s="625">
        <f t="shared" si="12"/>
        <v>0</v>
      </c>
      <c r="N34" s="625">
        <f t="shared" si="13"/>
        <v>0</v>
      </c>
      <c r="O34" s="557"/>
      <c r="P34" s="554"/>
      <c r="Q34" s="554"/>
      <c r="R34" s="554"/>
      <c r="S34" s="554"/>
      <c r="T34" s="554"/>
      <c r="U34" s="554"/>
      <c r="V34" s="554"/>
    </row>
    <row r="35" spans="1:22" ht="12.75" customHeight="1">
      <c r="A35" s="657" t="s">
        <v>170</v>
      </c>
      <c r="B35" s="658">
        <v>0</v>
      </c>
      <c r="C35" s="659">
        <v>0</v>
      </c>
      <c r="D35" s="659"/>
      <c r="E35" s="659">
        <v>0</v>
      </c>
      <c r="F35" s="621"/>
      <c r="G35" s="621" t="s">
        <v>6</v>
      </c>
      <c r="H35" s="646">
        <f>ROUND(B35*C35*E35,0)</f>
        <v>0</v>
      </c>
      <c r="I35" s="625">
        <f>ROUND(H35*1.04,0)</f>
        <v>0</v>
      </c>
      <c r="J35" s="624">
        <f>ROUND(I35*1.04,0)</f>
        <v>0</v>
      </c>
      <c r="K35" s="625">
        <f>ROUND(J35*1.04,0)</f>
        <v>0</v>
      </c>
      <c r="L35" s="624">
        <f>ROUND(K35*1.04,0)</f>
        <v>0</v>
      </c>
      <c r="M35" s="625">
        <f t="shared" si="12"/>
        <v>0</v>
      </c>
      <c r="N35" s="625">
        <f t="shared" si="13"/>
        <v>0</v>
      </c>
      <c r="O35" s="557"/>
      <c r="P35" s="554"/>
      <c r="Q35" s="554"/>
      <c r="R35" s="554"/>
      <c r="S35" s="554"/>
      <c r="T35" s="554"/>
      <c r="U35" s="554"/>
      <c r="V35" s="554"/>
    </row>
    <row r="36" spans="1:22" ht="12.75" customHeight="1">
      <c r="A36" s="661"/>
      <c r="B36" s="662"/>
      <c r="C36" s="663"/>
      <c r="D36" s="663"/>
      <c r="E36" s="663"/>
      <c r="F36" s="630" t="s">
        <v>4</v>
      </c>
      <c r="G36" s="631">
        <v>0.194601118678526</v>
      </c>
      <c r="H36" s="646">
        <f>ROUND(H35*$G$36,0)</f>
        <v>0</v>
      </c>
      <c r="I36" s="625">
        <f>ROUND(I35*$G$36,0)</f>
        <v>0</v>
      </c>
      <c r="J36" s="624">
        <f>ROUND(J35*$G$36,0)</f>
        <v>0</v>
      </c>
      <c r="K36" s="625">
        <f>ROUND(K35*$G$36,0)</f>
        <v>0</v>
      </c>
      <c r="L36" s="624">
        <f>ROUND(L35*$G$36,0)</f>
        <v>0</v>
      </c>
      <c r="M36" s="625">
        <f t="shared" si="12"/>
        <v>0</v>
      </c>
      <c r="N36" s="625">
        <f t="shared" si="13"/>
        <v>0</v>
      </c>
      <c r="O36" s="557"/>
      <c r="P36" s="554"/>
      <c r="Q36" s="554"/>
      <c r="R36" s="554"/>
      <c r="S36" s="554"/>
      <c r="T36" s="554"/>
      <c r="U36" s="554"/>
      <c r="V36" s="554"/>
    </row>
    <row r="37" spans="1:22" ht="12.75" customHeight="1">
      <c r="A37" s="657" t="s">
        <v>171</v>
      </c>
      <c r="B37" s="658">
        <v>0</v>
      </c>
      <c r="C37" s="659">
        <v>0</v>
      </c>
      <c r="D37" s="659"/>
      <c r="E37" s="659">
        <v>0</v>
      </c>
      <c r="F37" s="651"/>
      <c r="G37" s="621" t="s">
        <v>6</v>
      </c>
      <c r="H37" s="646">
        <f>ROUND(B37*C37*E37,0)</f>
        <v>0</v>
      </c>
      <c r="I37" s="625">
        <f>ROUND(H37*1.04,0)</f>
        <v>0</v>
      </c>
      <c r="J37" s="624">
        <f>ROUND(I37*1.04,0)</f>
        <v>0</v>
      </c>
      <c r="K37" s="625">
        <f>ROUND(J37*1.04,0)</f>
        <v>0</v>
      </c>
      <c r="L37" s="624">
        <f>ROUND(K37*1.04,0)</f>
        <v>0</v>
      </c>
      <c r="M37" s="625">
        <f t="shared" si="12"/>
        <v>0</v>
      </c>
      <c r="N37" s="625">
        <f t="shared" si="13"/>
        <v>0</v>
      </c>
      <c r="O37" s="557"/>
      <c r="P37" s="554"/>
      <c r="Q37" s="554"/>
      <c r="R37" s="554"/>
      <c r="S37" s="554"/>
      <c r="T37" s="554"/>
      <c r="U37" s="554"/>
      <c r="V37" s="554"/>
    </row>
    <row r="38" spans="1:22" ht="12.75" customHeight="1">
      <c r="A38" s="661"/>
      <c r="B38" s="662"/>
      <c r="C38" s="663"/>
      <c r="D38" s="663"/>
      <c r="E38" s="663"/>
      <c r="F38" s="630" t="s">
        <v>4</v>
      </c>
      <c r="G38" s="631">
        <v>0.64925486709021596</v>
      </c>
      <c r="H38" s="646">
        <f>ROUND(H37*$G$38,0)</f>
        <v>0</v>
      </c>
      <c r="I38" s="666">
        <f>ROUND(I37*$G$38,0)</f>
        <v>0</v>
      </c>
      <c r="J38" s="667">
        <f>ROUND(J37*$G$38,0)</f>
        <v>0</v>
      </c>
      <c r="K38" s="666">
        <f>ROUND(K37*$G$38,0)</f>
        <v>0</v>
      </c>
      <c r="L38" s="667">
        <f>ROUND(L37*$G$38,0)</f>
        <v>0</v>
      </c>
      <c r="M38" s="625">
        <f t="shared" si="12"/>
        <v>0</v>
      </c>
      <c r="N38" s="625">
        <f t="shared" si="13"/>
        <v>0</v>
      </c>
      <c r="O38" s="557"/>
      <c r="P38" s="554"/>
      <c r="Q38" s="554"/>
      <c r="R38" s="554"/>
      <c r="S38" s="554"/>
      <c r="T38" s="554"/>
      <c r="U38" s="554"/>
      <c r="V38" s="554"/>
    </row>
    <row r="39" spans="1:22" ht="12.75" customHeight="1">
      <c r="A39" s="668"/>
      <c r="B39" s="551"/>
      <c r="C39" s="551"/>
      <c r="D39" s="551"/>
      <c r="E39" s="551"/>
      <c r="F39" s="551"/>
      <c r="G39" s="621" t="s">
        <v>28</v>
      </c>
      <c r="H39" s="779">
        <f t="shared" ref="H39:N39" si="14">H6+H8+H10+H12+H14+H16+H18+H20+H24</f>
        <v>0</v>
      </c>
      <c r="I39" s="780">
        <f t="shared" si="14"/>
        <v>0</v>
      </c>
      <c r="J39" s="781">
        <f t="shared" si="14"/>
        <v>0</v>
      </c>
      <c r="K39" s="780">
        <f t="shared" si="14"/>
        <v>0</v>
      </c>
      <c r="L39" s="781">
        <f>L6+L8+L10+L12+L14+L16+L18+L20+L24</f>
        <v>0</v>
      </c>
      <c r="M39" s="780">
        <f>M6+M8+M10+M12+M14+M16+M18+M20+M24</f>
        <v>0</v>
      </c>
      <c r="N39" s="780">
        <f t="shared" si="14"/>
        <v>0</v>
      </c>
      <c r="O39" s="624">
        <f>SUM(H39:M39)</f>
        <v>0</v>
      </c>
      <c r="P39" s="554"/>
      <c r="Q39" s="554"/>
      <c r="R39" s="554"/>
      <c r="S39" s="554"/>
      <c r="T39" s="554"/>
      <c r="U39" s="554"/>
      <c r="V39" s="554"/>
    </row>
    <row r="40" spans="1:22" ht="12.75" customHeight="1">
      <c r="A40" s="668"/>
      <c r="B40" s="551"/>
      <c r="C40" s="551"/>
      <c r="D40" s="551"/>
      <c r="E40" s="551"/>
      <c r="F40" s="551"/>
      <c r="G40" s="621" t="s">
        <v>29</v>
      </c>
      <c r="H40" s="782">
        <f t="shared" ref="H40:N40" si="15">H29+H31+H33+H35+H37</f>
        <v>0</v>
      </c>
      <c r="I40" s="783">
        <f t="shared" si="15"/>
        <v>0</v>
      </c>
      <c r="J40" s="784">
        <f t="shared" si="15"/>
        <v>0</v>
      </c>
      <c r="K40" s="783">
        <f t="shared" si="15"/>
        <v>0</v>
      </c>
      <c r="L40" s="784">
        <f t="shared" si="15"/>
        <v>0</v>
      </c>
      <c r="M40" s="783">
        <f t="shared" si="15"/>
        <v>0</v>
      </c>
      <c r="N40" s="783">
        <f t="shared" si="15"/>
        <v>0</v>
      </c>
      <c r="O40" s="624">
        <f>SUM(H40:M40)</f>
        <v>0</v>
      </c>
      <c r="P40" s="554"/>
      <c r="Q40" s="554"/>
      <c r="R40" s="554"/>
      <c r="S40" s="554"/>
      <c r="T40" s="554"/>
      <c r="U40" s="554"/>
      <c r="V40" s="554"/>
    </row>
    <row r="41" spans="1:22" ht="12.75" customHeight="1" thickBot="1">
      <c r="A41" s="657"/>
      <c r="G41" s="621" t="s">
        <v>26</v>
      </c>
      <c r="H41" s="785">
        <f t="shared" ref="H41:M41" si="16">SUM(ROUND(H39,0),ROUND(H40,0))</f>
        <v>0</v>
      </c>
      <c r="I41" s="786">
        <f t="shared" si="16"/>
        <v>0</v>
      </c>
      <c r="J41" s="787">
        <f t="shared" si="16"/>
        <v>0</v>
      </c>
      <c r="K41" s="786">
        <f t="shared" si="16"/>
        <v>0</v>
      </c>
      <c r="L41" s="784">
        <f t="shared" si="16"/>
        <v>0</v>
      </c>
      <c r="M41" s="786">
        <f t="shared" si="16"/>
        <v>0</v>
      </c>
      <c r="N41" s="783">
        <f>SUM(N39:N40)</f>
        <v>0</v>
      </c>
      <c r="O41" s="624">
        <f>SUM(H41:M41)</f>
        <v>0</v>
      </c>
      <c r="P41" s="554"/>
      <c r="Q41" s="554"/>
      <c r="R41" s="554"/>
      <c r="S41" s="554"/>
      <c r="T41" s="554"/>
      <c r="U41" s="554"/>
      <c r="V41" s="554"/>
    </row>
    <row r="42" spans="1:22" ht="12.75" customHeight="1" thickBot="1">
      <c r="A42" s="767" t="s">
        <v>615</v>
      </c>
      <c r="B42" s="768"/>
      <c r="C42" s="768"/>
      <c r="D42" s="768"/>
      <c r="E42" s="768"/>
      <c r="F42" s="769"/>
      <c r="G42" s="770"/>
      <c r="H42" s="773"/>
      <c r="I42" s="773"/>
      <c r="J42" s="773"/>
      <c r="K42" s="773"/>
      <c r="L42" s="773"/>
      <c r="M42" s="773"/>
      <c r="N42" s="772"/>
      <c r="O42" s="557"/>
      <c r="P42" s="554"/>
      <c r="Q42" s="554"/>
      <c r="R42" s="554"/>
      <c r="S42" s="554"/>
      <c r="T42" s="554"/>
      <c r="U42" s="554"/>
      <c r="V42" s="554"/>
    </row>
    <row r="43" spans="1:22" ht="12.75" customHeight="1">
      <c r="A43" s="1220"/>
      <c r="B43" s="1221"/>
      <c r="C43" s="1221"/>
      <c r="D43" s="1221"/>
      <c r="E43" s="1221"/>
      <c r="F43" s="1222"/>
      <c r="G43" s="1223" t="s">
        <v>8</v>
      </c>
      <c r="H43" s="1228">
        <f t="shared" ref="H43:M43" si="17">SUM(H21+H25)</f>
        <v>0</v>
      </c>
      <c r="I43" s="1228">
        <f t="shared" si="17"/>
        <v>0</v>
      </c>
      <c r="J43" s="1224">
        <f t="shared" si="17"/>
        <v>0</v>
      </c>
      <c r="K43" s="1227">
        <f t="shared" si="17"/>
        <v>0</v>
      </c>
      <c r="L43" s="1227">
        <f t="shared" si="17"/>
        <v>0</v>
      </c>
      <c r="M43" s="1228">
        <f t="shared" si="17"/>
        <v>0</v>
      </c>
      <c r="N43" s="1225">
        <f>SUM(H43:M43)</f>
        <v>0</v>
      </c>
      <c r="O43" s="624">
        <f>SUM(H43:M43)</f>
        <v>0</v>
      </c>
      <c r="P43" s="554"/>
      <c r="Q43" s="554"/>
      <c r="R43" s="554"/>
      <c r="S43" s="554"/>
      <c r="T43" s="554"/>
      <c r="U43" s="554"/>
      <c r="V43" s="554"/>
    </row>
    <row r="44" spans="1:22" ht="12.75" customHeight="1">
      <c r="A44" s="668"/>
      <c r="B44" s="551"/>
      <c r="C44" s="551"/>
      <c r="D44" s="551"/>
      <c r="E44" s="551"/>
      <c r="F44" s="551"/>
      <c r="G44" s="621" t="s">
        <v>731</v>
      </c>
      <c r="H44" s="782">
        <f t="shared" ref="H44:M44" si="18">SUM(ROUND(H7,0),ROUND(H9,0),ROUND(H11,0),ROUND(H13,0),ROUND(H15,0),ROUND(H17,0),ROUND(H19,0),ROUND(H22,0),ROUND(H23,0),ROUND(H26,0),ROUND(H27,0),ROUND(H30,0),ROUND(H32,0),ROUND(H34,0),ROUND(H36,0),ROUND(H38,0))</f>
        <v>0</v>
      </c>
      <c r="I44" s="782">
        <f t="shared" si="18"/>
        <v>0</v>
      </c>
      <c r="J44" s="782">
        <f t="shared" si="18"/>
        <v>0</v>
      </c>
      <c r="K44" s="782">
        <f t="shared" si="18"/>
        <v>0</v>
      </c>
      <c r="L44" s="782">
        <f t="shared" si="18"/>
        <v>0</v>
      </c>
      <c r="M44" s="783">
        <f t="shared" si="18"/>
        <v>0</v>
      </c>
      <c r="N44" s="1226">
        <f>N7+N9+N11+N13+N15+N17+N19+N22+N23+N26+N27+N30+N32+N34+N36+N38</f>
        <v>0</v>
      </c>
      <c r="O44" s="624">
        <f>SUM(H44:M44)</f>
        <v>0</v>
      </c>
      <c r="P44" s="554"/>
      <c r="Q44" s="554"/>
      <c r="R44" s="554"/>
      <c r="S44" s="554"/>
      <c r="T44" s="554"/>
      <c r="U44" s="554"/>
      <c r="V44" s="554"/>
    </row>
    <row r="45" spans="1:22" ht="12.75" customHeight="1" thickBot="1">
      <c r="A45" s="657"/>
      <c r="G45" s="621" t="s">
        <v>35</v>
      </c>
      <c r="H45" s="782">
        <f t="shared" ref="H45:M45" si="19">SUM(ROUND(H41,0),ROUND(H44,0),ROUND(H43,0))</f>
        <v>0</v>
      </c>
      <c r="I45" s="782">
        <f t="shared" si="19"/>
        <v>0</v>
      </c>
      <c r="J45" s="782">
        <f t="shared" si="19"/>
        <v>0</v>
      </c>
      <c r="K45" s="782">
        <f t="shared" si="19"/>
        <v>0</v>
      </c>
      <c r="L45" s="782">
        <f t="shared" si="19"/>
        <v>0</v>
      </c>
      <c r="M45" s="782">
        <f t="shared" si="19"/>
        <v>0</v>
      </c>
      <c r="N45" s="783">
        <f>N41+N44+N43</f>
        <v>0</v>
      </c>
      <c r="O45" s="624">
        <f>SUM(H45:M45)</f>
        <v>0</v>
      </c>
      <c r="P45" s="554"/>
      <c r="Q45" s="554"/>
      <c r="R45" s="554"/>
      <c r="S45" s="554"/>
      <c r="T45" s="554"/>
      <c r="U45" s="554"/>
      <c r="V45" s="554"/>
    </row>
    <row r="46" spans="1:22" ht="12.75" customHeight="1" thickBot="1">
      <c r="A46" s="767" t="s">
        <v>775</v>
      </c>
      <c r="B46" s="768"/>
      <c r="C46" s="768"/>
      <c r="D46" s="768"/>
      <c r="E46" s="768"/>
      <c r="F46" s="769"/>
      <c r="G46" s="770"/>
      <c r="H46" s="773"/>
      <c r="I46" s="773"/>
      <c r="J46" s="773"/>
      <c r="K46" s="773"/>
      <c r="L46" s="773"/>
      <c r="M46" s="773"/>
      <c r="N46" s="772"/>
      <c r="O46" s="624"/>
      <c r="P46" s="554"/>
      <c r="Q46" s="554"/>
      <c r="R46" s="554"/>
      <c r="S46" s="554"/>
      <c r="T46" s="554"/>
      <c r="U46" s="554"/>
      <c r="V46" s="554"/>
    </row>
    <row r="47" spans="1:22" ht="12.75" customHeight="1">
      <c r="A47" s="657"/>
      <c r="G47" s="554"/>
      <c r="H47" s="671"/>
      <c r="I47" s="622"/>
      <c r="J47" s="622"/>
      <c r="K47" s="622"/>
      <c r="L47" s="622"/>
      <c r="M47" s="622"/>
      <c r="N47" s="625">
        <f>SUM(H47:M47)</f>
        <v>0</v>
      </c>
      <c r="O47" s="624"/>
      <c r="P47" s="554"/>
      <c r="Q47" s="554"/>
      <c r="R47" s="554"/>
      <c r="S47" s="554"/>
      <c r="T47" s="554"/>
      <c r="U47" s="554"/>
      <c r="V47" s="554"/>
    </row>
    <row r="48" spans="1:22" ht="12.75" customHeight="1">
      <c r="A48" s="657"/>
      <c r="G48" s="554"/>
      <c r="H48" s="673"/>
      <c r="I48" s="625"/>
      <c r="J48" s="625"/>
      <c r="K48" s="625"/>
      <c r="L48" s="625"/>
      <c r="M48" s="625"/>
      <c r="N48" s="625">
        <f>SUM(H48:M48)</f>
        <v>0</v>
      </c>
      <c r="O48" s="624">
        <f>SUM(H51:M51)</f>
        <v>0</v>
      </c>
      <c r="P48" s="554"/>
      <c r="Q48" s="554"/>
      <c r="R48" s="554"/>
      <c r="S48" s="554"/>
      <c r="T48" s="554"/>
      <c r="U48" s="554"/>
      <c r="V48" s="554"/>
    </row>
    <row r="49" spans="1:22" ht="12.75" customHeight="1">
      <c r="A49" s="657"/>
      <c r="G49" s="554"/>
      <c r="H49" s="673"/>
      <c r="I49" s="625"/>
      <c r="J49" s="625"/>
      <c r="K49" s="625"/>
      <c r="L49" s="625"/>
      <c r="M49" s="625"/>
      <c r="N49" s="625">
        <f>SUM(H49:M49)</f>
        <v>0</v>
      </c>
      <c r="O49" s="624"/>
    </row>
    <row r="50" spans="1:22" ht="12.75" customHeight="1">
      <c r="A50" s="657"/>
      <c r="G50" s="554"/>
      <c r="H50" s="672"/>
      <c r="I50" s="625"/>
      <c r="J50" s="625"/>
      <c r="K50" s="625"/>
      <c r="L50" s="625"/>
      <c r="M50" s="625"/>
      <c r="N50" s="625">
        <f>SUM(H50:M50)</f>
        <v>0</v>
      </c>
      <c r="O50" s="624"/>
    </row>
    <row r="51" spans="1:22" ht="12.75" customHeight="1" thickBot="1">
      <c r="A51" s="668"/>
      <c r="B51" s="551"/>
      <c r="C51" s="551"/>
      <c r="D51" s="551"/>
      <c r="E51" s="551"/>
      <c r="F51" s="551"/>
      <c r="G51" s="621" t="s">
        <v>33</v>
      </c>
      <c r="H51" s="779">
        <f t="shared" ref="H51:M51" si="20">SUM(H47:H50)</f>
        <v>0</v>
      </c>
      <c r="I51" s="779">
        <f t="shared" si="20"/>
        <v>0</v>
      </c>
      <c r="J51" s="779">
        <f t="shared" si="20"/>
        <v>0</v>
      </c>
      <c r="K51" s="779">
        <f t="shared" si="20"/>
        <v>0</v>
      </c>
      <c r="L51" s="779">
        <f t="shared" si="20"/>
        <v>0</v>
      </c>
      <c r="M51" s="779">
        <f t="shared" si="20"/>
        <v>0</v>
      </c>
      <c r="N51" s="804">
        <f>SUM(N47:N50)</f>
        <v>0</v>
      </c>
      <c r="O51" s="624"/>
    </row>
    <row r="52" spans="1:22" ht="12.75" customHeight="1" thickBot="1">
      <c r="A52" s="767" t="s">
        <v>781</v>
      </c>
      <c r="B52" s="768"/>
      <c r="C52" s="768"/>
      <c r="D52" s="768"/>
      <c r="E52" s="768"/>
      <c r="F52" s="769"/>
      <c r="G52" s="770"/>
      <c r="H52" s="773"/>
      <c r="I52" s="773"/>
      <c r="J52" s="773"/>
      <c r="K52" s="773"/>
      <c r="L52" s="773"/>
      <c r="M52" s="773"/>
      <c r="N52" s="774"/>
      <c r="O52" s="624"/>
    </row>
    <row r="53" spans="1:22" ht="12.75" customHeight="1">
      <c r="A53" s="657"/>
      <c r="G53" s="554"/>
      <c r="H53" s="671"/>
      <c r="I53" s="622"/>
      <c r="J53" s="622"/>
      <c r="K53" s="622"/>
      <c r="L53" s="622"/>
      <c r="M53" s="622"/>
      <c r="N53" s="625">
        <f>SUM(H53:M53)</f>
        <v>0</v>
      </c>
      <c r="O53" s="624"/>
    </row>
    <row r="54" spans="1:22" ht="12.75" customHeight="1">
      <c r="A54" s="657"/>
      <c r="G54" s="554"/>
      <c r="H54" s="673"/>
      <c r="I54" s="625"/>
      <c r="J54" s="625"/>
      <c r="K54" s="625"/>
      <c r="L54" s="625"/>
      <c r="M54" s="625"/>
      <c r="N54" s="625">
        <f>SUM(H54:M54)</f>
        <v>0</v>
      </c>
      <c r="O54" s="624"/>
    </row>
    <row r="55" spans="1:22" ht="12.75" customHeight="1">
      <c r="A55" s="657"/>
      <c r="G55" s="554"/>
      <c r="H55" s="673"/>
      <c r="I55" s="625"/>
      <c r="J55" s="625"/>
      <c r="K55" s="625"/>
      <c r="L55" s="625"/>
      <c r="M55" s="625"/>
      <c r="N55" s="625">
        <f t="shared" ref="N55:N61" si="21">SUM(H55:M55)</f>
        <v>0</v>
      </c>
      <c r="O55" s="624"/>
    </row>
    <row r="56" spans="1:22" ht="12.75" customHeight="1">
      <c r="A56" s="657"/>
      <c r="G56" s="554"/>
      <c r="H56" s="673"/>
      <c r="I56" s="625"/>
      <c r="J56" s="625"/>
      <c r="K56" s="625"/>
      <c r="L56" s="625"/>
      <c r="M56" s="625"/>
      <c r="N56" s="625">
        <f t="shared" si="21"/>
        <v>0</v>
      </c>
      <c r="O56" s="624"/>
    </row>
    <row r="57" spans="1:22" ht="12.75" customHeight="1">
      <c r="A57" s="657"/>
      <c r="G57" s="554"/>
      <c r="H57" s="673"/>
      <c r="I57" s="625"/>
      <c r="J57" s="625"/>
      <c r="K57" s="625"/>
      <c r="L57" s="625"/>
      <c r="M57" s="625"/>
      <c r="N57" s="625">
        <f t="shared" si="21"/>
        <v>0</v>
      </c>
      <c r="O57" s="624"/>
    </row>
    <row r="58" spans="1:22" ht="12.75" customHeight="1">
      <c r="A58" s="657"/>
      <c r="G58" s="554"/>
      <c r="H58" s="673"/>
      <c r="I58" s="625"/>
      <c r="J58" s="625"/>
      <c r="K58" s="625"/>
      <c r="L58" s="625"/>
      <c r="M58" s="625"/>
      <c r="N58" s="625">
        <f t="shared" si="21"/>
        <v>0</v>
      </c>
      <c r="O58" s="624"/>
    </row>
    <row r="59" spans="1:22" ht="12.75" customHeight="1">
      <c r="A59" s="657"/>
      <c r="G59" s="554"/>
      <c r="H59" s="673"/>
      <c r="I59" s="625"/>
      <c r="J59" s="625"/>
      <c r="K59" s="625"/>
      <c r="L59" s="625"/>
      <c r="M59" s="625"/>
      <c r="N59" s="625">
        <f t="shared" si="21"/>
        <v>0</v>
      </c>
      <c r="O59" s="624">
        <f>SUM(H62:M62)</f>
        <v>0</v>
      </c>
    </row>
    <row r="60" spans="1:22" ht="12.75" customHeight="1">
      <c r="A60" s="657"/>
      <c r="G60" s="554"/>
      <c r="H60" s="673"/>
      <c r="I60" s="625"/>
      <c r="J60" s="625"/>
      <c r="K60" s="625"/>
      <c r="L60" s="625"/>
      <c r="M60" s="625"/>
      <c r="N60" s="625">
        <f t="shared" si="21"/>
        <v>0</v>
      </c>
      <c r="O60" s="624"/>
    </row>
    <row r="61" spans="1:22" ht="12.75" customHeight="1">
      <c r="A61" s="657"/>
      <c r="G61" s="554"/>
      <c r="H61" s="672"/>
      <c r="I61" s="666"/>
      <c r="J61" s="666"/>
      <c r="K61" s="666"/>
      <c r="L61" s="666"/>
      <c r="M61" s="666"/>
      <c r="N61" s="625">
        <f t="shared" si="21"/>
        <v>0</v>
      </c>
      <c r="O61" s="624">
        <f>SUM(H64:M64)</f>
        <v>0</v>
      </c>
      <c r="V61" s="546" t="s">
        <v>143</v>
      </c>
    </row>
    <row r="62" spans="1:22" ht="12.75" customHeight="1" thickBot="1">
      <c r="A62" s="668"/>
      <c r="B62" s="551"/>
      <c r="C62" s="551"/>
      <c r="D62" s="551"/>
      <c r="E62" s="551"/>
      <c r="F62" s="551"/>
      <c r="G62" s="621" t="s">
        <v>30</v>
      </c>
      <c r="H62" s="779">
        <f t="shared" ref="H62:N62" si="22">SUM(H53:H61)</f>
        <v>0</v>
      </c>
      <c r="I62" s="779">
        <f t="shared" si="22"/>
        <v>0</v>
      </c>
      <c r="J62" s="779">
        <f t="shared" si="22"/>
        <v>0</v>
      </c>
      <c r="K62" s="779">
        <f t="shared" si="22"/>
        <v>0</v>
      </c>
      <c r="L62" s="779">
        <f t="shared" si="22"/>
        <v>0</v>
      </c>
      <c r="M62" s="779">
        <f t="shared" si="22"/>
        <v>0</v>
      </c>
      <c r="N62" s="780">
        <f t="shared" si="22"/>
        <v>0</v>
      </c>
      <c r="O62" s="624"/>
    </row>
    <row r="63" spans="1:22" ht="12.75" customHeight="1" thickBot="1">
      <c r="A63" s="767" t="s">
        <v>616</v>
      </c>
      <c r="B63" s="768"/>
      <c r="C63" s="768"/>
      <c r="D63" s="768"/>
      <c r="E63" s="768"/>
      <c r="F63" s="769"/>
      <c r="G63" s="770"/>
      <c r="H63" s="771"/>
      <c r="I63" s="771"/>
      <c r="J63" s="771"/>
      <c r="K63" s="771"/>
      <c r="L63" s="771"/>
      <c r="M63" s="771"/>
      <c r="N63" s="774"/>
      <c r="O63" s="624"/>
    </row>
    <row r="64" spans="1:22" ht="12.75" customHeight="1">
      <c r="A64" s="657" t="s">
        <v>335</v>
      </c>
      <c r="G64" s="554"/>
      <c r="H64" s="622"/>
      <c r="I64" s="622"/>
      <c r="J64" s="622"/>
      <c r="K64" s="622"/>
      <c r="L64" s="622"/>
      <c r="M64" s="622"/>
      <c r="N64" s="625">
        <f>SUM(H64:M64)</f>
        <v>0</v>
      </c>
      <c r="O64" s="624">
        <f>SUM(H64:M64)</f>
        <v>0</v>
      </c>
    </row>
    <row r="65" spans="1:22" ht="12.75" customHeight="1">
      <c r="A65" s="657" t="s">
        <v>7</v>
      </c>
      <c r="G65" s="554"/>
      <c r="H65" s="625"/>
      <c r="I65" s="625"/>
      <c r="J65" s="625"/>
      <c r="K65" s="625"/>
      <c r="L65" s="625"/>
      <c r="M65" s="625"/>
      <c r="N65" s="625">
        <f>SUM(H65:M65)</f>
        <v>0</v>
      </c>
      <c r="O65" s="624">
        <f>SUM(H68:M68)</f>
        <v>0</v>
      </c>
    </row>
    <row r="66" spans="1:22" ht="12.75" hidden="1" customHeight="1" thickBot="1">
      <c r="A66" s="657"/>
      <c r="G66" s="554"/>
      <c r="H66" s="625"/>
      <c r="I66" s="625"/>
      <c r="J66" s="625"/>
      <c r="K66" s="625"/>
      <c r="L66" s="625"/>
      <c r="M66" s="625"/>
      <c r="N66" s="625">
        <f>SUM(H66:M66)</f>
        <v>0</v>
      </c>
      <c r="O66" s="624"/>
    </row>
    <row r="67" spans="1:22" ht="12.75" hidden="1" customHeight="1">
      <c r="A67" s="657"/>
      <c r="G67" s="554"/>
      <c r="H67" s="666"/>
      <c r="I67" s="666"/>
      <c r="J67" s="666"/>
      <c r="K67" s="666"/>
      <c r="L67" s="666"/>
      <c r="M67" s="666"/>
      <c r="N67" s="625">
        <f>SUM(H67:M67)</f>
        <v>0</v>
      </c>
      <c r="O67" s="624"/>
      <c r="T67" s="554"/>
      <c r="U67" s="554"/>
      <c r="V67" s="554"/>
    </row>
    <row r="68" spans="1:22" ht="12.75" hidden="1" customHeight="1">
      <c r="A68" s="668"/>
      <c r="B68" s="551"/>
      <c r="C68" s="551"/>
      <c r="D68" s="551"/>
      <c r="E68" s="551"/>
      <c r="F68" s="551"/>
      <c r="G68" s="621" t="s">
        <v>31</v>
      </c>
      <c r="H68" s="779">
        <f t="shared" ref="H68:N68" si="23">ROUND(SUM(H64:H67),0)</f>
        <v>0</v>
      </c>
      <c r="I68" s="779">
        <f t="shared" si="23"/>
        <v>0</v>
      </c>
      <c r="J68" s="779">
        <f t="shared" si="23"/>
        <v>0</v>
      </c>
      <c r="K68" s="779">
        <f t="shared" si="23"/>
        <v>0</v>
      </c>
      <c r="L68" s="779">
        <f t="shared" si="23"/>
        <v>0</v>
      </c>
      <c r="M68" s="779">
        <f t="shared" si="23"/>
        <v>0</v>
      </c>
      <c r="N68" s="780">
        <f t="shared" si="23"/>
        <v>0</v>
      </c>
      <c r="O68" s="624"/>
      <c r="T68" s="554"/>
      <c r="U68" s="554"/>
      <c r="V68" s="554"/>
    </row>
    <row r="69" spans="1:22" ht="12.75" hidden="1" customHeight="1">
      <c r="A69" s="767" t="s">
        <v>617</v>
      </c>
      <c r="B69" s="768"/>
      <c r="C69" s="768"/>
      <c r="D69" s="768"/>
      <c r="E69" s="768"/>
      <c r="F69" s="769"/>
      <c r="G69" s="770"/>
      <c r="H69" s="771"/>
      <c r="I69" s="771"/>
      <c r="J69" s="771"/>
      <c r="K69" s="771"/>
      <c r="L69" s="771"/>
      <c r="M69" s="771"/>
      <c r="N69" s="774"/>
      <c r="O69" s="624"/>
      <c r="T69" s="554"/>
      <c r="U69" s="554"/>
      <c r="V69" s="554"/>
    </row>
    <row r="70" spans="1:22" ht="12.75" hidden="1" customHeight="1" thickBot="1">
      <c r="A70" s="657"/>
      <c r="G70" s="554"/>
      <c r="H70" s="622"/>
      <c r="I70" s="622"/>
      <c r="J70" s="622"/>
      <c r="K70" s="622"/>
      <c r="L70" s="622"/>
      <c r="M70" s="622"/>
      <c r="N70" s="625">
        <f>SUM(H70:M70)</f>
        <v>0</v>
      </c>
      <c r="O70" s="624">
        <f>SUM(H73:M73)</f>
        <v>0</v>
      </c>
    </row>
    <row r="71" spans="1:22" ht="12.75" customHeight="1">
      <c r="A71" s="657"/>
      <c r="G71" s="554"/>
      <c r="H71" s="625"/>
      <c r="I71" s="625"/>
      <c r="J71" s="625"/>
      <c r="K71" s="625"/>
      <c r="L71" s="625"/>
      <c r="M71" s="625"/>
      <c r="N71" s="625">
        <f>SUM(H71:M71)</f>
        <v>0</v>
      </c>
      <c r="O71" s="624"/>
      <c r="S71" s="546" t="s">
        <v>143</v>
      </c>
    </row>
    <row r="72" spans="1:22" ht="12.75" customHeight="1">
      <c r="A72" s="657"/>
      <c r="G72" s="554"/>
      <c r="H72" s="666"/>
      <c r="I72" s="666"/>
      <c r="J72" s="666"/>
      <c r="K72" s="666"/>
      <c r="L72" s="666"/>
      <c r="M72" s="666"/>
      <c r="N72" s="625">
        <f>SUM(H72:M72)</f>
        <v>0</v>
      </c>
      <c r="O72" s="624"/>
      <c r="P72" s="546" t="s">
        <v>143</v>
      </c>
      <c r="T72" s="554"/>
      <c r="U72" s="554"/>
      <c r="V72" s="554"/>
    </row>
    <row r="73" spans="1:22" ht="12.75" customHeight="1" thickBot="1">
      <c r="A73" s="668"/>
      <c r="B73" s="551"/>
      <c r="C73" s="551"/>
      <c r="D73" s="551"/>
      <c r="E73" s="551"/>
      <c r="F73" s="551"/>
      <c r="G73" s="621" t="s">
        <v>34</v>
      </c>
      <c r="H73" s="779">
        <f t="shared" ref="H73:N73" si="24">SUM(H70:H72)</f>
        <v>0</v>
      </c>
      <c r="I73" s="779">
        <f t="shared" si="24"/>
        <v>0</v>
      </c>
      <c r="J73" s="779">
        <f t="shared" si="24"/>
        <v>0</v>
      </c>
      <c r="K73" s="779">
        <f t="shared" si="24"/>
        <v>0</v>
      </c>
      <c r="L73" s="779">
        <f t="shared" si="24"/>
        <v>0</v>
      </c>
      <c r="M73" s="779">
        <f t="shared" si="24"/>
        <v>0</v>
      </c>
      <c r="N73" s="780">
        <f t="shared" si="24"/>
        <v>0</v>
      </c>
      <c r="O73" s="624"/>
      <c r="T73" s="554"/>
      <c r="U73" s="554"/>
      <c r="V73" s="554"/>
    </row>
    <row r="74" spans="1:22" ht="12.75" customHeight="1" thickBot="1">
      <c r="A74" s="767" t="s">
        <v>618</v>
      </c>
      <c r="B74" s="768"/>
      <c r="C74" s="768"/>
      <c r="D74" s="768"/>
      <c r="E74" s="768"/>
      <c r="F74" s="769"/>
      <c r="G74" s="770"/>
      <c r="H74" s="771"/>
      <c r="I74" s="771"/>
      <c r="J74" s="771"/>
      <c r="K74" s="771"/>
      <c r="L74" s="771"/>
      <c r="M74" s="771"/>
      <c r="N74" s="774"/>
      <c r="O74" s="624"/>
      <c r="T74" s="554"/>
      <c r="U74" s="554"/>
      <c r="V74" s="554"/>
    </row>
    <row r="75" spans="1:22" ht="12.75" customHeight="1">
      <c r="A75" s="657"/>
      <c r="G75" s="554"/>
      <c r="H75" s="622"/>
      <c r="I75" s="622"/>
      <c r="J75" s="622"/>
      <c r="K75" s="622"/>
      <c r="L75" s="622"/>
      <c r="M75" s="622"/>
      <c r="N75" s="625">
        <f>SUM(H75:M75)</f>
        <v>0</v>
      </c>
      <c r="O75" s="624">
        <f>SUM(H78:M78)</f>
        <v>0</v>
      </c>
    </row>
    <row r="76" spans="1:22" ht="12.75" customHeight="1">
      <c r="A76" s="657"/>
      <c r="G76" s="554"/>
      <c r="H76" s="625"/>
      <c r="I76" s="625"/>
      <c r="J76" s="625"/>
      <c r="K76" s="625"/>
      <c r="L76" s="625"/>
      <c r="M76" s="625"/>
      <c r="N76" s="625">
        <f>SUM(H76:M76)</f>
        <v>0</v>
      </c>
      <c r="O76" s="624"/>
    </row>
    <row r="77" spans="1:22" ht="12.75" customHeight="1">
      <c r="A77" s="668"/>
      <c r="B77" s="551"/>
      <c r="C77" s="551"/>
      <c r="D77" s="551"/>
      <c r="E77" s="551"/>
      <c r="F77" s="551"/>
      <c r="G77" s="554"/>
      <c r="H77" s="666"/>
      <c r="I77" s="666"/>
      <c r="J77" s="666"/>
      <c r="K77" s="666"/>
      <c r="L77" s="666"/>
      <c r="M77" s="625"/>
      <c r="N77" s="625">
        <f>SUM(H77:M77)</f>
        <v>0</v>
      </c>
      <c r="O77" s="624"/>
      <c r="T77" s="554"/>
      <c r="U77" s="554"/>
      <c r="V77" s="554"/>
    </row>
    <row r="78" spans="1:22" ht="12.75" customHeight="1" thickBot="1">
      <c r="A78" s="668"/>
      <c r="B78" s="551"/>
      <c r="C78" s="551"/>
      <c r="D78" s="551"/>
      <c r="E78" s="551"/>
      <c r="F78" s="551"/>
      <c r="G78" s="621" t="s">
        <v>27</v>
      </c>
      <c r="H78" s="779">
        <f t="shared" ref="H78:N78" si="25">SUM(H75:H77)</f>
        <v>0</v>
      </c>
      <c r="I78" s="779">
        <f t="shared" si="25"/>
        <v>0</v>
      </c>
      <c r="J78" s="779">
        <f t="shared" si="25"/>
        <v>0</v>
      </c>
      <c r="K78" s="779">
        <f t="shared" si="25"/>
        <v>0</v>
      </c>
      <c r="L78" s="779">
        <f t="shared" si="25"/>
        <v>0</v>
      </c>
      <c r="M78" s="779">
        <f t="shared" si="25"/>
        <v>0</v>
      </c>
      <c r="N78" s="780">
        <f t="shared" si="25"/>
        <v>0</v>
      </c>
      <c r="O78" s="624"/>
      <c r="T78" s="554"/>
      <c r="U78" s="554"/>
      <c r="V78" s="554"/>
    </row>
    <row r="79" spans="1:22" ht="12.75" customHeight="1" thickBot="1">
      <c r="A79" s="767" t="s">
        <v>778</v>
      </c>
      <c r="B79" s="768"/>
      <c r="C79" s="768"/>
      <c r="D79" s="768"/>
      <c r="E79" s="768"/>
      <c r="F79" s="769"/>
      <c r="G79" s="770"/>
      <c r="H79" s="771"/>
      <c r="I79" s="771"/>
      <c r="J79" s="771"/>
      <c r="K79" s="771"/>
      <c r="L79" s="771"/>
      <c r="M79" s="771"/>
      <c r="N79" s="774"/>
      <c r="O79" s="624"/>
      <c r="T79" s="554"/>
      <c r="U79" s="554"/>
      <c r="V79" s="554"/>
    </row>
    <row r="80" spans="1:22" ht="12.75" customHeight="1">
      <c r="A80" s="657"/>
      <c r="G80" s="554"/>
      <c r="H80" s="622"/>
      <c r="I80" s="622"/>
      <c r="J80" s="622"/>
      <c r="K80" s="622"/>
      <c r="L80" s="622"/>
      <c r="M80" s="622"/>
      <c r="N80" s="625">
        <f>SUM(H80:M80)</f>
        <v>0</v>
      </c>
      <c r="O80" s="624"/>
      <c r="T80" s="554"/>
      <c r="U80" s="554"/>
      <c r="V80" s="554"/>
    </row>
    <row r="81" spans="1:24" ht="12.75" customHeight="1">
      <c r="A81" s="657"/>
      <c r="G81" s="554"/>
      <c r="H81" s="625"/>
      <c r="I81" s="625"/>
      <c r="J81" s="625"/>
      <c r="K81" s="625"/>
      <c r="L81" s="625"/>
      <c r="M81" s="625"/>
      <c r="N81" s="625">
        <f>SUM(H81:M81)</f>
        <v>0</v>
      </c>
      <c r="O81" s="624">
        <f>SUM(H84:M84)</f>
        <v>0</v>
      </c>
    </row>
    <row r="82" spans="1:24" ht="12.75" customHeight="1">
      <c r="A82" s="657"/>
      <c r="G82" s="554"/>
      <c r="H82" s="625"/>
      <c r="I82" s="625"/>
      <c r="J82" s="625"/>
      <c r="K82" s="625"/>
      <c r="L82" s="625"/>
      <c r="M82" s="625"/>
      <c r="N82" s="625">
        <f>SUM(H82:M82)</f>
        <v>0</v>
      </c>
      <c r="O82" s="624"/>
    </row>
    <row r="83" spans="1:24" ht="12.75" customHeight="1">
      <c r="A83" s="657"/>
      <c r="G83" s="554"/>
      <c r="H83" s="666"/>
      <c r="I83" s="666"/>
      <c r="J83" s="666"/>
      <c r="K83" s="666"/>
      <c r="L83" s="666"/>
      <c r="M83" s="666"/>
      <c r="N83" s="625">
        <f>SUM(H83:M83)</f>
        <v>0</v>
      </c>
      <c r="O83" s="624"/>
    </row>
    <row r="84" spans="1:24" ht="12.75" customHeight="1" thickBot="1">
      <c r="A84" s="668"/>
      <c r="B84" s="551"/>
      <c r="C84" s="551"/>
      <c r="D84" s="551"/>
      <c r="E84" s="551"/>
      <c r="F84" s="551"/>
      <c r="G84" s="621" t="s">
        <v>586</v>
      </c>
      <c r="H84" s="779">
        <f t="shared" ref="H84:N84" si="26">SUM(H80:H83)</f>
        <v>0</v>
      </c>
      <c r="I84" s="779">
        <f t="shared" si="26"/>
        <v>0</v>
      </c>
      <c r="J84" s="779">
        <f t="shared" si="26"/>
        <v>0</v>
      </c>
      <c r="K84" s="779">
        <f t="shared" si="26"/>
        <v>0</v>
      </c>
      <c r="L84" s="779">
        <f t="shared" si="26"/>
        <v>0</v>
      </c>
      <c r="M84" s="779">
        <f t="shared" si="26"/>
        <v>0</v>
      </c>
      <c r="N84" s="780">
        <f t="shared" si="26"/>
        <v>0</v>
      </c>
      <c r="O84" s="624"/>
    </row>
    <row r="85" spans="1:24" ht="12.75" customHeight="1" thickBot="1">
      <c r="A85" s="767" t="s">
        <v>619</v>
      </c>
      <c r="B85" s="768"/>
      <c r="C85" s="768"/>
      <c r="D85" s="768"/>
      <c r="E85" s="768"/>
      <c r="F85" s="769"/>
      <c r="G85" s="770"/>
      <c r="H85" s="771"/>
      <c r="I85" s="771"/>
      <c r="J85" s="771"/>
      <c r="K85" s="771"/>
      <c r="L85" s="771"/>
      <c r="M85" s="771"/>
      <c r="N85" s="774"/>
      <c r="O85" s="624"/>
    </row>
    <row r="86" spans="1:24" ht="12.75" customHeight="1">
      <c r="A86" s="675" t="s">
        <v>271</v>
      </c>
      <c r="B86" s="676" t="s">
        <v>319</v>
      </c>
      <c r="C86" s="676" t="s">
        <v>320</v>
      </c>
      <c r="D86" s="676" t="s">
        <v>321</v>
      </c>
      <c r="E86" s="676" t="s">
        <v>322</v>
      </c>
      <c r="F86" s="676" t="s">
        <v>323</v>
      </c>
      <c r="G86" s="677"/>
      <c r="H86" s="678"/>
      <c r="I86" s="679"/>
      <c r="J86" s="679"/>
      <c r="K86" s="679"/>
      <c r="L86" s="679"/>
      <c r="M86" s="679"/>
      <c r="N86" s="680"/>
      <c r="O86" s="624"/>
    </row>
    <row r="87" spans="1:24" ht="12.75" customHeight="1">
      <c r="A87" s="553" t="s">
        <v>272</v>
      </c>
      <c r="B87" s="681"/>
      <c r="G87" s="554"/>
      <c r="H87" s="625">
        <f t="shared" ref="H87:M88" si="27">B87</f>
        <v>0</v>
      </c>
      <c r="I87" s="625">
        <f t="shared" si="27"/>
        <v>0</v>
      </c>
      <c r="J87" s="625">
        <f t="shared" si="27"/>
        <v>0</v>
      </c>
      <c r="K87" s="625">
        <f t="shared" si="27"/>
        <v>0</v>
      </c>
      <c r="L87" s="625">
        <f t="shared" si="27"/>
        <v>0</v>
      </c>
      <c r="M87" s="625">
        <f t="shared" si="27"/>
        <v>0</v>
      </c>
      <c r="N87" s="625">
        <f>SUM(H87:M87)</f>
        <v>0</v>
      </c>
      <c r="O87" s="624"/>
    </row>
    <row r="88" spans="1:24" ht="12.75" customHeight="1">
      <c r="A88" s="553" t="s">
        <v>558</v>
      </c>
      <c r="B88" s="681"/>
      <c r="C88" s="681"/>
      <c r="D88" s="681"/>
      <c r="G88" s="554"/>
      <c r="H88" s="625">
        <f t="shared" si="27"/>
        <v>0</v>
      </c>
      <c r="I88" s="625">
        <f t="shared" si="27"/>
        <v>0</v>
      </c>
      <c r="J88" s="625">
        <f t="shared" si="27"/>
        <v>0</v>
      </c>
      <c r="K88" s="625">
        <f t="shared" si="27"/>
        <v>0</v>
      </c>
      <c r="L88" s="625">
        <f t="shared" si="27"/>
        <v>0</v>
      </c>
      <c r="M88" s="625">
        <f t="shared" si="27"/>
        <v>0</v>
      </c>
      <c r="N88" s="625">
        <f>SUM(H88:M88)</f>
        <v>0</v>
      </c>
      <c r="O88" s="624"/>
    </row>
    <row r="89" spans="1:24" ht="12.75" customHeight="1">
      <c r="A89" s="682" t="s">
        <v>273</v>
      </c>
      <c r="B89" s="683" t="s">
        <v>319</v>
      </c>
      <c r="C89" s="683" t="s">
        <v>320</v>
      </c>
      <c r="D89" s="683" t="s">
        <v>321</v>
      </c>
      <c r="E89" s="683" t="s">
        <v>322</v>
      </c>
      <c r="F89" s="683" t="s">
        <v>323</v>
      </c>
      <c r="G89" s="684"/>
      <c r="H89" s="685"/>
      <c r="I89" s="686"/>
      <c r="J89" s="686"/>
      <c r="K89" s="686"/>
      <c r="L89" s="686"/>
      <c r="M89" s="686"/>
      <c r="N89" s="687"/>
      <c r="O89" s="624">
        <f>SUM(H92:M92)</f>
        <v>0</v>
      </c>
    </row>
    <row r="90" spans="1:24" ht="12.75" customHeight="1">
      <c r="A90" s="553" t="s">
        <v>272</v>
      </c>
      <c r="B90" s="681"/>
      <c r="G90" s="554"/>
      <c r="H90" s="625">
        <f t="shared" ref="H90:M91" si="28">B90</f>
        <v>0</v>
      </c>
      <c r="I90" s="625">
        <f t="shared" si="28"/>
        <v>0</v>
      </c>
      <c r="J90" s="625">
        <f t="shared" si="28"/>
        <v>0</v>
      </c>
      <c r="K90" s="625">
        <f t="shared" si="28"/>
        <v>0</v>
      </c>
      <c r="L90" s="625">
        <f t="shared" si="28"/>
        <v>0</v>
      </c>
      <c r="M90" s="625">
        <f t="shared" si="28"/>
        <v>0</v>
      </c>
      <c r="N90" s="625">
        <f>SUM(H90:M90)</f>
        <v>0</v>
      </c>
      <c r="O90" s="624">
        <f>SUM(H93:M93)</f>
        <v>0</v>
      </c>
      <c r="W90" s="545"/>
      <c r="X90" s="545"/>
    </row>
    <row r="91" spans="1:24" ht="12.75" customHeight="1">
      <c r="A91" s="553" t="s">
        <v>558</v>
      </c>
      <c r="B91" s="681"/>
      <c r="C91" s="681"/>
      <c r="D91" s="681"/>
      <c r="G91" s="554"/>
      <c r="H91" s="666">
        <f t="shared" si="28"/>
        <v>0</v>
      </c>
      <c r="I91" s="666">
        <f t="shared" si="28"/>
        <v>0</v>
      </c>
      <c r="J91" s="666">
        <f t="shared" si="28"/>
        <v>0</v>
      </c>
      <c r="K91" s="666">
        <f t="shared" si="28"/>
        <v>0</v>
      </c>
      <c r="L91" s="666">
        <f t="shared" si="28"/>
        <v>0</v>
      </c>
      <c r="M91" s="625">
        <f t="shared" si="28"/>
        <v>0</v>
      </c>
      <c r="N91" s="625">
        <f>SUM(H91:M91)</f>
        <v>0</v>
      </c>
      <c r="O91" s="624">
        <f>SUM(H94:M94)</f>
        <v>0</v>
      </c>
      <c r="W91" s="545"/>
      <c r="X91" s="545"/>
    </row>
    <row r="92" spans="1:24" ht="12.75" customHeight="1">
      <c r="A92" s="657"/>
      <c r="B92" s="681"/>
      <c r="C92" s="681"/>
      <c r="D92" s="681"/>
      <c r="G92" s="651" t="s">
        <v>274</v>
      </c>
      <c r="H92" s="780">
        <f t="shared" ref="H92:N93" si="29">H87+H90</f>
        <v>0</v>
      </c>
      <c r="I92" s="780">
        <f t="shared" si="29"/>
        <v>0</v>
      </c>
      <c r="J92" s="780">
        <f t="shared" si="29"/>
        <v>0</v>
      </c>
      <c r="K92" s="780">
        <f t="shared" si="29"/>
        <v>0</v>
      </c>
      <c r="L92" s="780">
        <f t="shared" si="29"/>
        <v>0</v>
      </c>
      <c r="M92" s="780">
        <f t="shared" si="29"/>
        <v>0</v>
      </c>
      <c r="N92" s="780">
        <f t="shared" si="29"/>
        <v>0</v>
      </c>
      <c r="O92" s="624"/>
    </row>
    <row r="93" spans="1:24" s="546" customFormat="1" ht="12.75" customHeight="1">
      <c r="A93" s="657"/>
      <c r="B93" s="681"/>
      <c r="C93" s="681"/>
      <c r="D93" s="681"/>
      <c r="E93" s="554"/>
      <c r="F93" s="554"/>
      <c r="G93" s="651" t="s">
        <v>275</v>
      </c>
      <c r="H93" s="780">
        <f t="shared" si="29"/>
        <v>0</v>
      </c>
      <c r="I93" s="780">
        <f t="shared" si="29"/>
        <v>0</v>
      </c>
      <c r="J93" s="780">
        <f t="shared" si="29"/>
        <v>0</v>
      </c>
      <c r="K93" s="780">
        <f t="shared" si="29"/>
        <v>0</v>
      </c>
      <c r="L93" s="780">
        <f t="shared" si="29"/>
        <v>0</v>
      </c>
      <c r="M93" s="780"/>
      <c r="N93" s="780">
        <f>N88+N91</f>
        <v>0</v>
      </c>
      <c r="O93" s="557"/>
    </row>
    <row r="94" spans="1:24" s="546" customFormat="1" ht="12.75" customHeight="1" thickBot="1">
      <c r="A94" s="657"/>
      <c r="B94" s="554"/>
      <c r="C94" s="688"/>
      <c r="D94" s="554"/>
      <c r="E94" s="554"/>
      <c r="F94" s="554"/>
      <c r="G94" s="621" t="s">
        <v>32</v>
      </c>
      <c r="H94" s="788">
        <f t="shared" ref="H94:N94" si="30">SUM(H92:H93)</f>
        <v>0</v>
      </c>
      <c r="I94" s="788">
        <f t="shared" si="30"/>
        <v>0</v>
      </c>
      <c r="J94" s="788">
        <f t="shared" si="30"/>
        <v>0</v>
      </c>
      <c r="K94" s="788">
        <f t="shared" si="30"/>
        <v>0</v>
      </c>
      <c r="L94" s="788">
        <f t="shared" si="30"/>
        <v>0</v>
      </c>
      <c r="M94" s="788"/>
      <c r="N94" s="780">
        <f t="shared" si="30"/>
        <v>0</v>
      </c>
      <c r="O94" s="557"/>
    </row>
    <row r="95" spans="1:24" s="546" customFormat="1" ht="12.75" customHeight="1" thickBot="1">
      <c r="A95" s="767" t="s">
        <v>620</v>
      </c>
      <c r="B95" s="805"/>
      <c r="C95" s="768"/>
      <c r="D95" s="768"/>
      <c r="E95" s="922"/>
      <c r="F95" s="805" t="s">
        <v>760</v>
      </c>
      <c r="G95" s="770"/>
      <c r="H95" s="771"/>
      <c r="I95" s="771"/>
      <c r="J95" s="771"/>
      <c r="K95" s="771"/>
      <c r="L95" s="771"/>
      <c r="M95" s="771"/>
      <c r="N95" s="774"/>
      <c r="O95" s="557"/>
    </row>
    <row r="96" spans="1:24" s="546" customFormat="1" ht="12.75" customHeight="1">
      <c r="A96" s="689"/>
      <c r="B96" s="554"/>
      <c r="C96" s="554"/>
      <c r="D96" s="554"/>
      <c r="E96" s="554"/>
      <c r="F96" s="554"/>
      <c r="G96" s="554"/>
      <c r="H96" s="690">
        <v>0</v>
      </c>
      <c r="I96" s="622">
        <f t="shared" ref="I96:M99" si="31">H96*1.04</f>
        <v>0</v>
      </c>
      <c r="J96" s="622">
        <f t="shared" si="31"/>
        <v>0</v>
      </c>
      <c r="K96" s="622">
        <f t="shared" si="31"/>
        <v>0</v>
      </c>
      <c r="L96" s="622">
        <f t="shared" si="31"/>
        <v>0</v>
      </c>
      <c r="M96" s="622">
        <f t="shared" si="31"/>
        <v>0</v>
      </c>
      <c r="N96" s="625">
        <f>SUM(H96:M96)</f>
        <v>0</v>
      </c>
      <c r="O96" s="557"/>
    </row>
    <row r="97" spans="1:24" s="546" customFormat="1" ht="12.75" customHeight="1">
      <c r="A97" s="689"/>
      <c r="B97" s="554"/>
      <c r="C97" s="554"/>
      <c r="D97" s="554"/>
      <c r="E97" s="554"/>
      <c r="F97" s="554"/>
      <c r="G97" s="554"/>
      <c r="H97" s="690">
        <v>0</v>
      </c>
      <c r="I97" s="625">
        <f t="shared" si="31"/>
        <v>0</v>
      </c>
      <c r="J97" s="625">
        <f t="shared" si="31"/>
        <v>0</v>
      </c>
      <c r="K97" s="625">
        <f t="shared" si="31"/>
        <v>0</v>
      </c>
      <c r="L97" s="625">
        <f t="shared" si="31"/>
        <v>0</v>
      </c>
      <c r="M97" s="625">
        <f t="shared" si="31"/>
        <v>0</v>
      </c>
      <c r="N97" s="625">
        <f>SUM(H97:M97)</f>
        <v>0</v>
      </c>
      <c r="O97" s="646">
        <f>SUM(H100:M100)</f>
        <v>0</v>
      </c>
      <c r="R97" s="546" t="s">
        <v>143</v>
      </c>
    </row>
    <row r="98" spans="1:24" s="693" customFormat="1" ht="12.75" customHeight="1">
      <c r="A98" s="689"/>
      <c r="B98" s="554"/>
      <c r="C98" s="554"/>
      <c r="D98" s="554"/>
      <c r="E98" s="554"/>
      <c r="F98" s="554"/>
      <c r="G98" s="554"/>
      <c r="H98" s="690">
        <v>0</v>
      </c>
      <c r="I98" s="625">
        <f t="shared" si="31"/>
        <v>0</v>
      </c>
      <c r="J98" s="625">
        <f t="shared" si="31"/>
        <v>0</v>
      </c>
      <c r="K98" s="625">
        <f t="shared" si="31"/>
        <v>0</v>
      </c>
      <c r="L98" s="625">
        <f t="shared" si="31"/>
        <v>0</v>
      </c>
      <c r="M98" s="625">
        <f t="shared" si="31"/>
        <v>0</v>
      </c>
      <c r="N98" s="625">
        <f>SUM(H98:M98)</f>
        <v>0</v>
      </c>
      <c r="O98" s="624"/>
      <c r="P98" s="546"/>
      <c r="Q98" s="546"/>
      <c r="R98" s="546"/>
      <c r="S98" s="546"/>
      <c r="T98" s="546"/>
      <c r="U98" s="546"/>
      <c r="V98" s="546"/>
      <c r="W98" s="545"/>
      <c r="X98" s="545"/>
    </row>
    <row r="99" spans="1:24" ht="12.75" customHeight="1">
      <c r="A99" s="689"/>
      <c r="G99" s="554"/>
      <c r="H99" s="690">
        <v>0</v>
      </c>
      <c r="I99" s="625">
        <f t="shared" si="31"/>
        <v>0</v>
      </c>
      <c r="J99" s="625">
        <f t="shared" si="31"/>
        <v>0</v>
      </c>
      <c r="K99" s="625">
        <f t="shared" si="31"/>
        <v>0</v>
      </c>
      <c r="L99" s="625">
        <f t="shared" si="31"/>
        <v>0</v>
      </c>
      <c r="M99" s="625">
        <f t="shared" si="31"/>
        <v>0</v>
      </c>
      <c r="N99" s="625">
        <f>SUM(H99:M99)</f>
        <v>0</v>
      </c>
      <c r="O99" s="624">
        <f>SUM(H102:L102)</f>
        <v>0</v>
      </c>
      <c r="S99" s="546" t="s">
        <v>143</v>
      </c>
    </row>
    <row r="100" spans="1:24" ht="12.75" customHeight="1">
      <c r="A100" s="657"/>
      <c r="G100" s="621" t="s">
        <v>609</v>
      </c>
      <c r="H100" s="789">
        <f t="shared" ref="H100:N100" si="32">SUM(H96:H99)</f>
        <v>0</v>
      </c>
      <c r="I100" s="789">
        <f t="shared" si="32"/>
        <v>0</v>
      </c>
      <c r="J100" s="789">
        <f t="shared" si="32"/>
        <v>0</v>
      </c>
      <c r="K100" s="789">
        <f t="shared" si="32"/>
        <v>0</v>
      </c>
      <c r="L100" s="789">
        <f t="shared" si="32"/>
        <v>0</v>
      </c>
      <c r="M100" s="789">
        <f t="shared" si="32"/>
        <v>0</v>
      </c>
      <c r="N100" s="789">
        <f t="shared" si="32"/>
        <v>0</v>
      </c>
      <c r="O100" s="624">
        <f t="shared" ref="O100:O105" si="33">SUM(H103:M103)</f>
        <v>0</v>
      </c>
    </row>
    <row r="101" spans="1:24" ht="12.75" customHeight="1" thickBot="1">
      <c r="A101" s="790" t="s">
        <v>584</v>
      </c>
      <c r="B101" s="791"/>
      <c r="C101" s="791"/>
      <c r="D101" s="791"/>
      <c r="E101" s="791"/>
      <c r="F101" s="791"/>
      <c r="G101" s="791"/>
      <c r="H101" s="792">
        <f t="shared" ref="H101:N101" si="34">H45+H51+H62+H68+H73+H78+H84+H94+H100</f>
        <v>0</v>
      </c>
      <c r="I101" s="793">
        <f t="shared" si="34"/>
        <v>0</v>
      </c>
      <c r="J101" s="793">
        <f t="shared" si="34"/>
        <v>0</v>
      </c>
      <c r="K101" s="793">
        <f t="shared" si="34"/>
        <v>0</v>
      </c>
      <c r="L101" s="793">
        <f t="shared" si="34"/>
        <v>0</v>
      </c>
      <c r="M101" s="793">
        <f t="shared" si="34"/>
        <v>0</v>
      </c>
      <c r="N101" s="793">
        <f t="shared" si="34"/>
        <v>0</v>
      </c>
      <c r="O101" s="624"/>
    </row>
    <row r="102" spans="1:24" ht="12.75" customHeight="1" thickBot="1">
      <c r="A102" s="928" t="s">
        <v>10</v>
      </c>
      <c r="B102" s="940"/>
      <c r="C102" s="940"/>
      <c r="D102" s="940"/>
      <c r="E102" s="940"/>
      <c r="F102" s="941"/>
      <c r="G102" s="942"/>
      <c r="H102" s="943"/>
      <c r="I102" s="943"/>
      <c r="J102" s="943"/>
      <c r="K102" s="943"/>
      <c r="L102" s="943"/>
      <c r="M102" s="943"/>
      <c r="N102" s="944"/>
      <c r="O102" s="624">
        <f t="shared" si="33"/>
        <v>0</v>
      </c>
    </row>
    <row r="103" spans="1:24" ht="12.75" customHeight="1">
      <c r="A103" s="657" t="s">
        <v>8</v>
      </c>
      <c r="G103" s="554"/>
      <c r="H103" s="646">
        <f t="shared" ref="H103:M103" si="35">SUM(H21+H25)</f>
        <v>0</v>
      </c>
      <c r="I103" s="622">
        <f t="shared" si="35"/>
        <v>0</v>
      </c>
      <c r="J103" s="622">
        <f t="shared" si="35"/>
        <v>0</v>
      </c>
      <c r="K103" s="622">
        <f t="shared" si="35"/>
        <v>0</v>
      </c>
      <c r="L103" s="622">
        <f t="shared" si="35"/>
        <v>0</v>
      </c>
      <c r="M103" s="660">
        <f t="shared" si="35"/>
        <v>0</v>
      </c>
      <c r="N103" s="625">
        <f>SUM(H103:M103)</f>
        <v>0</v>
      </c>
      <c r="O103" s="624">
        <f t="shared" si="33"/>
        <v>0</v>
      </c>
    </row>
    <row r="104" spans="1:24" ht="12.75" customHeight="1">
      <c r="A104" s="657" t="s">
        <v>9</v>
      </c>
      <c r="G104" s="554"/>
      <c r="H104" s="646">
        <f t="shared" ref="H104:M104" si="36">+H78</f>
        <v>0</v>
      </c>
      <c r="I104" s="625">
        <f t="shared" si="36"/>
        <v>0</v>
      </c>
      <c r="J104" s="625">
        <f t="shared" si="36"/>
        <v>0</v>
      </c>
      <c r="K104" s="625">
        <f t="shared" si="36"/>
        <v>0</v>
      </c>
      <c r="L104" s="625">
        <f t="shared" si="36"/>
        <v>0</v>
      </c>
      <c r="M104" s="646">
        <f t="shared" si="36"/>
        <v>0</v>
      </c>
      <c r="N104" s="625">
        <f>SUM(H104:M104)</f>
        <v>0</v>
      </c>
      <c r="O104" s="624">
        <f t="shared" si="33"/>
        <v>0</v>
      </c>
    </row>
    <row r="105" spans="1:24" ht="12.75" customHeight="1">
      <c r="A105" s="657" t="s">
        <v>336</v>
      </c>
      <c r="G105" s="554"/>
      <c r="H105" s="646"/>
      <c r="I105" s="646"/>
      <c r="J105" s="646"/>
      <c r="K105" s="646"/>
      <c r="L105" s="625"/>
      <c r="M105" s="646"/>
      <c r="N105" s="625">
        <f>SUM(H105:M105)</f>
        <v>0</v>
      </c>
      <c r="O105" s="624">
        <f t="shared" si="33"/>
        <v>0</v>
      </c>
    </row>
    <row r="106" spans="1:24" ht="12.75" customHeight="1">
      <c r="A106" s="657" t="s">
        <v>24</v>
      </c>
      <c r="G106" s="554"/>
      <c r="H106" s="701">
        <f t="shared" ref="H106:M106" si="37">(H84)</f>
        <v>0</v>
      </c>
      <c r="I106" s="701">
        <f t="shared" si="37"/>
        <v>0</v>
      </c>
      <c r="J106" s="701">
        <f t="shared" si="37"/>
        <v>0</v>
      </c>
      <c r="K106" s="701">
        <f t="shared" si="37"/>
        <v>0</v>
      </c>
      <c r="L106" s="701">
        <f t="shared" si="37"/>
        <v>0</v>
      </c>
      <c r="M106" s="701">
        <f t="shared" si="37"/>
        <v>0</v>
      </c>
      <c r="N106" s="625">
        <f>SUM(H106:M106)</f>
        <v>0</v>
      </c>
      <c r="O106" s="624"/>
      <c r="R106" s="706"/>
      <c r="S106" s="706"/>
      <c r="T106" s="706"/>
      <c r="U106" s="706"/>
      <c r="V106" s="706"/>
      <c r="W106" s="546"/>
      <c r="X106" s="546"/>
    </row>
    <row r="107" spans="1:24" ht="12.75" customHeight="1">
      <c r="A107" s="657"/>
      <c r="G107" s="621" t="s">
        <v>276</v>
      </c>
      <c r="H107" s="789">
        <f t="shared" ref="H107:N107" si="38">SUM(H103:H106)</f>
        <v>0</v>
      </c>
      <c r="I107" s="780">
        <f t="shared" si="38"/>
        <v>0</v>
      </c>
      <c r="J107" s="780">
        <f t="shared" si="38"/>
        <v>0</v>
      </c>
      <c r="K107" s="780">
        <f t="shared" si="38"/>
        <v>0</v>
      </c>
      <c r="L107" s="780">
        <f t="shared" si="38"/>
        <v>0</v>
      </c>
      <c r="M107" s="779">
        <f t="shared" si="38"/>
        <v>0</v>
      </c>
      <c r="N107" s="780">
        <f t="shared" si="38"/>
        <v>0</v>
      </c>
      <c r="O107" s="624">
        <f>SUM(H110:M110)</f>
        <v>0</v>
      </c>
      <c r="R107" s="706"/>
      <c r="S107" s="706"/>
      <c r="T107" s="706"/>
      <c r="U107" s="706"/>
      <c r="V107" s="706"/>
      <c r="W107" s="546"/>
      <c r="X107" s="546"/>
    </row>
    <row r="108" spans="1:24" ht="12.75" customHeight="1" thickBot="1">
      <c r="A108" s="930" t="s">
        <v>582</v>
      </c>
      <c r="B108" s="931"/>
      <c r="C108" s="931"/>
      <c r="D108" s="931"/>
      <c r="E108" s="931"/>
      <c r="F108" s="932"/>
      <c r="G108" s="933" t="s">
        <v>44</v>
      </c>
      <c r="H108" s="794">
        <f t="shared" ref="H108:N108" si="39">H101-H107</f>
        <v>0</v>
      </c>
      <c r="I108" s="795">
        <f t="shared" si="39"/>
        <v>0</v>
      </c>
      <c r="J108" s="795">
        <f t="shared" si="39"/>
        <v>0</v>
      </c>
      <c r="K108" s="795">
        <f t="shared" si="39"/>
        <v>0</v>
      </c>
      <c r="L108" s="795">
        <f t="shared" si="39"/>
        <v>0</v>
      </c>
      <c r="M108" s="794">
        <f t="shared" si="39"/>
        <v>0</v>
      </c>
      <c r="N108" s="795">
        <f t="shared" si="39"/>
        <v>0</v>
      </c>
      <c r="O108" s="557"/>
      <c r="R108" s="706"/>
      <c r="S108" s="706"/>
      <c r="T108" s="706"/>
      <c r="U108" s="706"/>
      <c r="V108" s="706"/>
    </row>
    <row r="109" spans="1:24" ht="12.75" customHeight="1" thickBot="1">
      <c r="A109" s="937" t="s">
        <v>621</v>
      </c>
      <c r="B109" s="805"/>
      <c r="C109" s="768"/>
      <c r="D109" s="768"/>
      <c r="E109" s="768"/>
      <c r="F109" s="938" t="s">
        <v>622</v>
      </c>
      <c r="G109" s="939"/>
      <c r="H109" s="929">
        <f t="shared" ref="H109:M109" si="40">H108*$G$109</f>
        <v>0</v>
      </c>
      <c r="I109" s="796">
        <f t="shared" si="40"/>
        <v>0</v>
      </c>
      <c r="J109" s="796">
        <f t="shared" si="40"/>
        <v>0</v>
      </c>
      <c r="K109" s="796">
        <f t="shared" si="40"/>
        <v>0</v>
      </c>
      <c r="L109" s="796">
        <f t="shared" si="40"/>
        <v>0</v>
      </c>
      <c r="M109" s="797">
        <f t="shared" si="40"/>
        <v>0</v>
      </c>
      <c r="N109" s="798">
        <f>SUM(H109:M109)</f>
        <v>0</v>
      </c>
      <c r="O109" s="557"/>
      <c r="W109" s="546"/>
    </row>
    <row r="110" spans="1:24" ht="12.75" customHeight="1">
      <c r="A110" s="934" t="s">
        <v>585</v>
      </c>
      <c r="B110" s="935"/>
      <c r="C110" s="935"/>
      <c r="D110" s="935"/>
      <c r="E110" s="935"/>
      <c r="F110" s="935"/>
      <c r="G110" s="936"/>
      <c r="H110" s="691">
        <f>H101+H109</f>
        <v>0</v>
      </c>
      <c r="I110" s="691">
        <f t="shared" ref="I110:N110" si="41">I101+I109</f>
        <v>0</v>
      </c>
      <c r="J110" s="691">
        <f t="shared" si="41"/>
        <v>0</v>
      </c>
      <c r="K110" s="691">
        <f t="shared" si="41"/>
        <v>0</v>
      </c>
      <c r="L110" s="691">
        <f t="shared" si="41"/>
        <v>0</v>
      </c>
      <c r="M110" s="691">
        <f t="shared" si="41"/>
        <v>0</v>
      </c>
      <c r="N110" s="692">
        <f t="shared" si="41"/>
        <v>0</v>
      </c>
      <c r="O110" s="557"/>
      <c r="W110" s="546"/>
    </row>
    <row r="111" spans="1:24" ht="12.75" customHeight="1">
      <c r="A111" s="712" t="s">
        <v>102</v>
      </c>
      <c r="B111" s="713"/>
      <c r="C111" s="800" t="s">
        <v>15</v>
      </c>
      <c r="D111" s="800" t="s">
        <v>16</v>
      </c>
      <c r="E111" s="800" t="s">
        <v>17</v>
      </c>
      <c r="F111" s="800" t="s">
        <v>18</v>
      </c>
      <c r="G111" s="801" t="s">
        <v>19</v>
      </c>
      <c r="H111" s="721"/>
      <c r="I111" s="554"/>
      <c r="J111" s="554"/>
      <c r="K111" s="554"/>
      <c r="L111" s="554"/>
      <c r="M111" s="554"/>
      <c r="N111" s="554"/>
      <c r="O111" s="557"/>
    </row>
    <row r="112" spans="1:24" ht="12.75" customHeight="1">
      <c r="A112" s="716"/>
      <c r="B112" s="799">
        <f>G109</f>
        <v>0</v>
      </c>
      <c r="C112" s="714" t="s">
        <v>25</v>
      </c>
      <c r="D112" s="714"/>
      <c r="E112" s="714"/>
      <c r="F112" s="714"/>
      <c r="G112" s="715"/>
      <c r="H112" s="721"/>
      <c r="K112" s="554"/>
      <c r="L112" s="554"/>
      <c r="M112" s="554"/>
      <c r="O112" s="624">
        <f>SUM(H115:M115)</f>
        <v>0</v>
      </c>
    </row>
    <row r="113" spans="1:15" ht="12.75" customHeight="1">
      <c r="G113" s="554"/>
      <c r="H113" s="725" t="s">
        <v>287</v>
      </c>
      <c r="I113" s="554" t="s">
        <v>307</v>
      </c>
      <c r="J113" s="554"/>
      <c r="K113" s="554"/>
      <c r="L113" s="554"/>
      <c r="M113" s="554"/>
      <c r="N113" s="554"/>
      <c r="O113" s="624" t="e">
        <f>SUM(#REF!)</f>
        <v>#REF!</v>
      </c>
    </row>
    <row r="114" spans="1:15" ht="12.75" customHeight="1">
      <c r="E114" s="1421" t="s">
        <v>38</v>
      </c>
      <c r="F114" s="1422"/>
      <c r="G114" s="1423"/>
      <c r="H114" s="802" t="s">
        <v>36</v>
      </c>
      <c r="I114" s="802" t="s">
        <v>0</v>
      </c>
      <c r="J114" s="802" t="s">
        <v>1</v>
      </c>
      <c r="K114" s="802" t="s">
        <v>2</v>
      </c>
      <c r="L114" s="802" t="s">
        <v>166</v>
      </c>
      <c r="M114" s="802" t="s">
        <v>461</v>
      </c>
      <c r="N114" s="802" t="s">
        <v>155</v>
      </c>
      <c r="O114" s="624">
        <f>SUM(H116:M116)</f>
        <v>0</v>
      </c>
    </row>
    <row r="115" spans="1:15" ht="12.75" customHeight="1">
      <c r="A115" s="551" t="s">
        <v>308</v>
      </c>
      <c r="E115" s="657"/>
      <c r="G115" s="719" t="s">
        <v>776</v>
      </c>
      <c r="H115" s="720">
        <f t="shared" ref="H115:N115" si="42">SUM(H39+H40)</f>
        <v>0</v>
      </c>
      <c r="I115" s="720">
        <f t="shared" si="42"/>
        <v>0</v>
      </c>
      <c r="J115" s="720">
        <f t="shared" si="42"/>
        <v>0</v>
      </c>
      <c r="K115" s="720">
        <f t="shared" si="42"/>
        <v>0</v>
      </c>
      <c r="L115" s="720">
        <f t="shared" si="42"/>
        <v>0</v>
      </c>
      <c r="M115" s="720">
        <f t="shared" si="42"/>
        <v>0</v>
      </c>
      <c r="N115" s="720">
        <f t="shared" si="42"/>
        <v>0</v>
      </c>
      <c r="O115" s="624">
        <f>SUM(H115:M115)</f>
        <v>0</v>
      </c>
    </row>
    <row r="116" spans="1:15" ht="12.75" customHeight="1">
      <c r="A116" s="721"/>
      <c r="B116" s="555"/>
      <c r="E116" s="657"/>
      <c r="G116" s="719" t="s">
        <v>774</v>
      </c>
      <c r="H116" s="945">
        <f t="shared" ref="H116:N116" si="43">H51</f>
        <v>0</v>
      </c>
      <c r="I116" s="945">
        <f t="shared" si="43"/>
        <v>0</v>
      </c>
      <c r="J116" s="945">
        <f t="shared" si="43"/>
        <v>0</v>
      </c>
      <c r="K116" s="945">
        <f t="shared" si="43"/>
        <v>0</v>
      </c>
      <c r="L116" s="945">
        <f t="shared" si="43"/>
        <v>0</v>
      </c>
      <c r="M116" s="945">
        <f t="shared" si="43"/>
        <v>0</v>
      </c>
      <c r="N116" s="945">
        <f t="shared" si="43"/>
        <v>0</v>
      </c>
      <c r="O116" s="624">
        <f t="shared" ref="O116:O126" si="44">SUM(H116:M116)</f>
        <v>0</v>
      </c>
    </row>
    <row r="117" spans="1:15" ht="12.75" customHeight="1">
      <c r="A117" s="721"/>
      <c r="B117" s="555"/>
      <c r="E117" s="657"/>
      <c r="G117" s="719" t="s">
        <v>39</v>
      </c>
      <c r="H117" s="945">
        <f t="shared" ref="H117:N117" si="45">H62</f>
        <v>0</v>
      </c>
      <c r="I117" s="945">
        <f t="shared" si="45"/>
        <v>0</v>
      </c>
      <c r="J117" s="945">
        <f t="shared" si="45"/>
        <v>0</v>
      </c>
      <c r="K117" s="945">
        <f t="shared" si="45"/>
        <v>0</v>
      </c>
      <c r="L117" s="945">
        <f t="shared" si="45"/>
        <v>0</v>
      </c>
      <c r="M117" s="945">
        <f t="shared" si="45"/>
        <v>0</v>
      </c>
      <c r="N117" s="945">
        <f t="shared" si="45"/>
        <v>0</v>
      </c>
      <c r="O117" s="624">
        <f t="shared" si="44"/>
        <v>0</v>
      </c>
    </row>
    <row r="118" spans="1:15" ht="12.75" customHeight="1">
      <c r="A118" s="721"/>
      <c r="B118" s="555"/>
      <c r="E118" s="657"/>
      <c r="G118" s="719" t="s">
        <v>40</v>
      </c>
      <c r="H118" s="945">
        <f t="shared" ref="H118:N118" si="46">H68</f>
        <v>0</v>
      </c>
      <c r="I118" s="945">
        <f t="shared" si="46"/>
        <v>0</v>
      </c>
      <c r="J118" s="945">
        <f t="shared" si="46"/>
        <v>0</v>
      </c>
      <c r="K118" s="945">
        <f t="shared" si="46"/>
        <v>0</v>
      </c>
      <c r="L118" s="945">
        <f t="shared" si="46"/>
        <v>0</v>
      </c>
      <c r="M118" s="945">
        <f t="shared" si="46"/>
        <v>0</v>
      </c>
      <c r="N118" s="945">
        <f t="shared" si="46"/>
        <v>0</v>
      </c>
      <c r="O118" s="624">
        <f t="shared" si="44"/>
        <v>0</v>
      </c>
    </row>
    <row r="119" spans="1:15" ht="12.75" customHeight="1">
      <c r="A119" s="555"/>
      <c r="B119" s="555"/>
      <c r="E119" s="657"/>
      <c r="G119" s="719" t="s">
        <v>41</v>
      </c>
      <c r="H119" s="945">
        <f t="shared" ref="H119:N119" si="47">H78</f>
        <v>0</v>
      </c>
      <c r="I119" s="945">
        <f t="shared" si="47"/>
        <v>0</v>
      </c>
      <c r="J119" s="945">
        <f t="shared" si="47"/>
        <v>0</v>
      </c>
      <c r="K119" s="945">
        <f t="shared" si="47"/>
        <v>0</v>
      </c>
      <c r="L119" s="945">
        <f t="shared" si="47"/>
        <v>0</v>
      </c>
      <c r="M119" s="945">
        <f t="shared" si="47"/>
        <v>0</v>
      </c>
      <c r="N119" s="945">
        <f t="shared" si="47"/>
        <v>0</v>
      </c>
      <c r="O119" s="624">
        <f t="shared" si="44"/>
        <v>0</v>
      </c>
    </row>
    <row r="120" spans="1:15" ht="12.75" customHeight="1">
      <c r="E120" s="657"/>
      <c r="G120" s="719" t="s">
        <v>42</v>
      </c>
      <c r="H120" s="945">
        <f t="shared" ref="H120:N120" si="48">H44</f>
        <v>0</v>
      </c>
      <c r="I120" s="945">
        <f t="shared" si="48"/>
        <v>0</v>
      </c>
      <c r="J120" s="945">
        <f t="shared" si="48"/>
        <v>0</v>
      </c>
      <c r="K120" s="945">
        <f t="shared" si="48"/>
        <v>0</v>
      </c>
      <c r="L120" s="945">
        <f t="shared" si="48"/>
        <v>0</v>
      </c>
      <c r="M120" s="945">
        <f t="shared" si="48"/>
        <v>0</v>
      </c>
      <c r="N120" s="945">
        <f t="shared" si="48"/>
        <v>0</v>
      </c>
      <c r="O120" s="624">
        <f t="shared" si="44"/>
        <v>0</v>
      </c>
    </row>
    <row r="121" spans="1:15" ht="12.75" customHeight="1">
      <c r="E121" s="657"/>
      <c r="G121" s="719" t="s">
        <v>732</v>
      </c>
      <c r="H121" s="945">
        <f t="shared" ref="H121:N121" si="49">H43</f>
        <v>0</v>
      </c>
      <c r="I121" s="945">
        <f t="shared" si="49"/>
        <v>0</v>
      </c>
      <c r="J121" s="945">
        <f t="shared" si="49"/>
        <v>0</v>
      </c>
      <c r="K121" s="945">
        <f t="shared" si="49"/>
        <v>0</v>
      </c>
      <c r="L121" s="945">
        <f t="shared" si="49"/>
        <v>0</v>
      </c>
      <c r="M121" s="945">
        <f t="shared" si="49"/>
        <v>0</v>
      </c>
      <c r="N121" s="945">
        <f t="shared" si="49"/>
        <v>0</v>
      </c>
      <c r="O121" s="624">
        <f>SUM(H121:M121)</f>
        <v>0</v>
      </c>
    </row>
    <row r="122" spans="1:15" ht="12.75" customHeight="1">
      <c r="E122" s="657"/>
      <c r="G122" s="719" t="s">
        <v>777</v>
      </c>
      <c r="H122" s="945">
        <f t="shared" ref="H122:N122" si="50">H84</f>
        <v>0</v>
      </c>
      <c r="I122" s="945">
        <f t="shared" si="50"/>
        <v>0</v>
      </c>
      <c r="J122" s="945">
        <f t="shared" si="50"/>
        <v>0</v>
      </c>
      <c r="K122" s="945">
        <f t="shared" si="50"/>
        <v>0</v>
      </c>
      <c r="L122" s="945">
        <f t="shared" si="50"/>
        <v>0</v>
      </c>
      <c r="M122" s="945">
        <f t="shared" si="50"/>
        <v>0</v>
      </c>
      <c r="N122" s="945">
        <f t="shared" si="50"/>
        <v>0</v>
      </c>
      <c r="O122" s="624">
        <f t="shared" si="44"/>
        <v>0</v>
      </c>
    </row>
    <row r="123" spans="1:15" ht="12.75" customHeight="1">
      <c r="E123" s="657"/>
      <c r="G123" s="719" t="s">
        <v>779</v>
      </c>
      <c r="H123" s="945">
        <f t="shared" ref="H123:N123" si="51">H94</f>
        <v>0</v>
      </c>
      <c r="I123" s="945">
        <f t="shared" si="51"/>
        <v>0</v>
      </c>
      <c r="J123" s="945">
        <f t="shared" si="51"/>
        <v>0</v>
      </c>
      <c r="K123" s="945">
        <f t="shared" si="51"/>
        <v>0</v>
      </c>
      <c r="L123" s="945">
        <f t="shared" si="51"/>
        <v>0</v>
      </c>
      <c r="M123" s="945">
        <f t="shared" si="51"/>
        <v>0</v>
      </c>
      <c r="N123" s="945">
        <f t="shared" si="51"/>
        <v>0</v>
      </c>
      <c r="O123" s="624">
        <f t="shared" si="44"/>
        <v>0</v>
      </c>
    </row>
    <row r="124" spans="1:15" ht="12.75" customHeight="1">
      <c r="A124" s="554" t="s">
        <v>143</v>
      </c>
      <c r="E124" s="657"/>
      <c r="G124" s="722" t="s">
        <v>21</v>
      </c>
      <c r="H124" s="720">
        <f t="shared" ref="H124:N124" si="52">SUM(H115:H123)</f>
        <v>0</v>
      </c>
      <c r="I124" s="720">
        <f t="shared" si="52"/>
        <v>0</v>
      </c>
      <c r="J124" s="720">
        <f t="shared" si="52"/>
        <v>0</v>
      </c>
      <c r="K124" s="720">
        <f t="shared" si="52"/>
        <v>0</v>
      </c>
      <c r="L124" s="720">
        <f t="shared" si="52"/>
        <v>0</v>
      </c>
      <c r="M124" s="720">
        <f t="shared" si="52"/>
        <v>0</v>
      </c>
      <c r="N124" s="945">
        <f t="shared" si="52"/>
        <v>0</v>
      </c>
      <c r="O124" s="624">
        <f t="shared" si="44"/>
        <v>0</v>
      </c>
    </row>
    <row r="125" spans="1:15" ht="12.75" customHeight="1">
      <c r="E125" s="657"/>
      <c r="G125" s="719" t="s">
        <v>43</v>
      </c>
      <c r="H125" s="692">
        <f t="shared" ref="H125:N125" si="53">H109</f>
        <v>0</v>
      </c>
      <c r="I125" s="692">
        <f t="shared" si="53"/>
        <v>0</v>
      </c>
      <c r="J125" s="692">
        <f t="shared" si="53"/>
        <v>0</v>
      </c>
      <c r="K125" s="692">
        <f t="shared" si="53"/>
        <v>0</v>
      </c>
      <c r="L125" s="692">
        <f t="shared" si="53"/>
        <v>0</v>
      </c>
      <c r="M125" s="692">
        <f t="shared" si="53"/>
        <v>0</v>
      </c>
      <c r="N125" s="692">
        <f t="shared" si="53"/>
        <v>0</v>
      </c>
      <c r="O125" s="624">
        <f t="shared" si="44"/>
        <v>0</v>
      </c>
    </row>
    <row r="126" spans="1:15" ht="12.75" customHeight="1">
      <c r="E126" s="661"/>
      <c r="F126" s="663"/>
      <c r="G126" s="723" t="s">
        <v>20</v>
      </c>
      <c r="H126" s="666">
        <f t="shared" ref="H126:N126" si="54">H124+H125</f>
        <v>0</v>
      </c>
      <c r="I126" s="666">
        <f t="shared" si="54"/>
        <v>0</v>
      </c>
      <c r="J126" s="666">
        <f t="shared" si="54"/>
        <v>0</v>
      </c>
      <c r="K126" s="666">
        <f t="shared" si="54"/>
        <v>0</v>
      </c>
      <c r="L126" s="666">
        <f t="shared" si="54"/>
        <v>0</v>
      </c>
      <c r="M126" s="666">
        <f t="shared" si="54"/>
        <v>0</v>
      </c>
      <c r="N126" s="666">
        <f t="shared" si="54"/>
        <v>0</v>
      </c>
      <c r="O126" s="624">
        <f t="shared" si="44"/>
        <v>0</v>
      </c>
    </row>
    <row r="128" spans="1:15" ht="12.75" customHeight="1">
      <c r="A128" s="724" t="s">
        <v>177</v>
      </c>
      <c r="G128" s="554"/>
      <c r="H128" s="554"/>
      <c r="I128" s="554"/>
    </row>
    <row r="129" spans="1:14" ht="12.75" customHeight="1">
      <c r="A129" s="724" t="s">
        <v>139</v>
      </c>
      <c r="G129" s="554"/>
      <c r="H129" s="554"/>
      <c r="I129" s="554"/>
    </row>
    <row r="130" spans="1:14" ht="12.75" customHeight="1">
      <c r="A130" s="725" t="s">
        <v>176</v>
      </c>
      <c r="G130" s="554"/>
      <c r="H130" s="554"/>
      <c r="I130" s="554"/>
    </row>
    <row r="131" spans="1:14" ht="12.75" customHeight="1">
      <c r="A131" s="725" t="s">
        <v>178</v>
      </c>
      <c r="G131" s="554"/>
      <c r="H131" s="554"/>
      <c r="I131" s="554"/>
    </row>
    <row r="132" spans="1:14" ht="12.75" customHeight="1">
      <c r="A132" s="554" t="s">
        <v>168</v>
      </c>
      <c r="B132" s="726"/>
      <c r="E132" s="726">
        <f>Instructions!A20</f>
        <v>0.10070111867852601</v>
      </c>
    </row>
    <row r="133" spans="1:14" s="600" customFormat="1" ht="12.75" customHeight="1">
      <c r="A133" s="554" t="s">
        <v>172</v>
      </c>
      <c r="B133" s="554"/>
      <c r="C133" s="554"/>
      <c r="D133" s="554"/>
      <c r="E133" s="726">
        <f>Instructions!A21</f>
        <v>0.194601118678526</v>
      </c>
      <c r="F133" s="554"/>
      <c r="G133" s="556"/>
      <c r="H133" s="557"/>
      <c r="I133" s="557"/>
      <c r="J133" s="557"/>
      <c r="K133" s="557"/>
      <c r="L133" s="557"/>
      <c r="M133" s="557"/>
      <c r="N133" s="557"/>
    </row>
    <row r="134" spans="1:14" s="600" customFormat="1" ht="12.75" customHeight="1">
      <c r="A134" s="554" t="s">
        <v>169</v>
      </c>
      <c r="B134" s="554"/>
      <c r="C134" s="554"/>
      <c r="D134" s="554"/>
      <c r="E134" s="726">
        <f>Instructions!A22</f>
        <v>0.64925486709021596</v>
      </c>
      <c r="F134" s="554"/>
      <c r="G134" s="556"/>
      <c r="H134" s="727"/>
      <c r="I134" s="557"/>
      <c r="J134" s="557"/>
      <c r="K134" s="557"/>
      <c r="L134" s="557"/>
      <c r="M134" s="557"/>
      <c r="N134" s="557"/>
    </row>
    <row r="135" spans="1:14" s="600" customFormat="1" ht="12.75" customHeight="1">
      <c r="A135" s="554" t="s">
        <v>179</v>
      </c>
      <c r="B135" s="554"/>
      <c r="C135" s="554"/>
      <c r="D135" s="554"/>
      <c r="E135" s="554"/>
      <c r="F135" s="554"/>
      <c r="G135" s="556"/>
      <c r="H135" s="557"/>
      <c r="I135" s="557"/>
      <c r="J135" s="557"/>
      <c r="K135" s="557"/>
      <c r="L135" s="557"/>
      <c r="M135" s="557"/>
      <c r="N135" s="557"/>
    </row>
    <row r="136" spans="1:14" s="600" customFormat="1" ht="12.75" customHeight="1"/>
    <row r="137" spans="1:14" s="600" customFormat="1" ht="12.75" customHeight="1"/>
    <row r="138" spans="1:14" s="600" customFormat="1" ht="12.75" customHeight="1"/>
    <row r="139" spans="1:14" s="600" customFormat="1" ht="12.75" customHeight="1"/>
    <row r="140" spans="1:14" s="600" customFormat="1" ht="12.75" customHeight="1"/>
    <row r="141" spans="1:14" s="600" customFormat="1" ht="12.75" customHeight="1"/>
    <row r="142" spans="1:14" s="600" customFormat="1" ht="12.75" customHeight="1"/>
    <row r="143" spans="1:14" s="600" customFormat="1" ht="12.75" customHeight="1"/>
    <row r="144" spans="1:14" s="600" customFormat="1" ht="12.75" customHeight="1"/>
    <row r="145" s="600" customFormat="1" ht="12.75" customHeight="1"/>
    <row r="146" s="600" customFormat="1" ht="12.75" customHeight="1"/>
    <row r="147" s="600" customFormat="1" ht="12.75" customHeight="1"/>
    <row r="148" s="600" customFormat="1" ht="12.75" customHeight="1"/>
    <row r="149" s="600" customFormat="1" ht="12.75" customHeight="1"/>
    <row r="150" s="600" customFormat="1" ht="12.75" customHeight="1"/>
    <row r="151" s="600" customFormat="1" ht="12.75" customHeight="1"/>
    <row r="152" s="600" customFormat="1" ht="12.75" customHeight="1"/>
    <row r="153" s="600" customFormat="1" ht="12.75" customHeight="1"/>
    <row r="154" s="600" customFormat="1" ht="12.75" customHeight="1"/>
    <row r="155" s="600" customFormat="1" ht="12.75" customHeight="1"/>
    <row r="156" s="600" customFormat="1" ht="12.75" customHeight="1"/>
    <row r="157" s="600" customFormat="1" ht="12.75" customHeight="1"/>
    <row r="158" s="600" customFormat="1" ht="12.75" customHeight="1"/>
    <row r="159" s="600" customFormat="1" ht="12.75" customHeight="1"/>
    <row r="160" s="600" customFormat="1" ht="12.75" customHeight="1"/>
    <row r="161" s="600" customFormat="1" ht="12.75" customHeight="1"/>
    <row r="162" s="600" customFormat="1" ht="12.75" customHeight="1"/>
    <row r="163" s="600" customFormat="1" ht="12.75" customHeight="1"/>
    <row r="164" s="600" customFormat="1" ht="12.75" customHeight="1"/>
    <row r="165" s="600" customFormat="1" ht="12.75" customHeight="1"/>
    <row r="166" s="600" customFormat="1" ht="12.75" customHeight="1"/>
    <row r="167" s="600" customFormat="1" ht="12.75" customHeight="1"/>
    <row r="168" s="600" customFormat="1" ht="12.75" customHeight="1"/>
    <row r="169" s="600" customFormat="1" ht="12.75" customHeight="1"/>
    <row r="170" s="600" customFormat="1" ht="12.75" customHeight="1"/>
    <row r="171" s="600" customFormat="1" ht="12.75" customHeight="1"/>
    <row r="172" s="600" customFormat="1" ht="12.75" customHeight="1"/>
    <row r="173" s="600" customFormat="1" ht="12.75" customHeight="1"/>
    <row r="174" s="600" customFormat="1" ht="12.75" customHeight="1"/>
    <row r="175" s="600" customFormat="1" ht="12.75" customHeight="1"/>
    <row r="176" s="600" customFormat="1" ht="12.75" customHeight="1"/>
    <row r="177" s="600" customFormat="1" ht="12.75" customHeight="1"/>
    <row r="178" s="600" customFormat="1" ht="12.75" customHeight="1"/>
    <row r="179" s="600" customFormat="1" ht="12.75" customHeight="1"/>
    <row r="180" s="600" customFormat="1" ht="12.75" customHeight="1"/>
    <row r="181" s="600" customFormat="1" ht="12.75" customHeight="1"/>
    <row r="182" s="600" customFormat="1" ht="12.75" customHeight="1"/>
    <row r="183" s="600" customFormat="1" ht="12.75" customHeight="1"/>
    <row r="184" s="600" customFormat="1" ht="12.75" customHeight="1"/>
    <row r="185" s="600" customFormat="1" ht="12.75" customHeight="1"/>
    <row r="186" s="600" customFormat="1" ht="12.75" customHeight="1"/>
    <row r="187" s="600" customFormat="1" ht="12.75" customHeight="1"/>
    <row r="188" s="600" customFormat="1" ht="12.75" customHeight="1"/>
    <row r="189" s="600" customFormat="1" ht="12.75" customHeight="1"/>
    <row r="190" s="600" customFormat="1" ht="12.75" customHeight="1"/>
    <row r="191" s="600" customFormat="1" ht="12.75" customHeight="1"/>
    <row r="192" s="600" customFormat="1" ht="12.75" customHeight="1"/>
    <row r="193" s="600" customFormat="1" ht="12.75" customHeight="1"/>
    <row r="194" s="600" customFormat="1" ht="12.75" customHeight="1"/>
    <row r="195" s="600" customFormat="1" ht="12.75" customHeight="1"/>
    <row r="196" s="600" customFormat="1" ht="12.75" customHeight="1"/>
    <row r="197" s="600" customFormat="1" ht="12.75" customHeight="1"/>
    <row r="198" s="600" customFormat="1" ht="12.75" customHeight="1"/>
    <row r="199" s="600" customFormat="1" ht="12.75" customHeight="1"/>
    <row r="200" s="600" customFormat="1" ht="12.75" customHeight="1"/>
    <row r="201" s="600" customFormat="1" ht="12.75" customHeight="1"/>
    <row r="202" s="600" customFormat="1" ht="12.75" customHeight="1"/>
    <row r="203" s="600" customFormat="1" ht="12.75" customHeight="1"/>
    <row r="204" s="600" customFormat="1" ht="12.75" customHeight="1"/>
    <row r="205" s="600" customFormat="1" ht="12.75" customHeight="1"/>
    <row r="206" s="600" customFormat="1" ht="12.75" customHeight="1"/>
    <row r="207" s="600" customFormat="1" ht="12.75" customHeight="1"/>
    <row r="208" s="600" customFormat="1" ht="12.75" customHeight="1"/>
    <row r="209" s="600" customFormat="1" ht="12.75" customHeight="1"/>
    <row r="210" s="600" customFormat="1" ht="12.75" customHeight="1"/>
    <row r="211" s="600" customFormat="1" ht="12.75" customHeight="1"/>
    <row r="212" s="600" customFormat="1" ht="12.75" customHeight="1"/>
    <row r="213" s="600" customFormat="1" ht="12.75" customHeight="1"/>
    <row r="214" s="600" customFormat="1" ht="12.75" customHeight="1"/>
    <row r="215" s="600" customFormat="1" ht="12.75" customHeight="1"/>
    <row r="216" s="600" customFormat="1" ht="12.75" customHeight="1"/>
    <row r="217" s="600" customFormat="1" ht="12.75" customHeight="1"/>
    <row r="218" s="600" customFormat="1" ht="12.75" customHeight="1"/>
    <row r="219" s="600" customFormat="1" ht="12.75" customHeight="1"/>
    <row r="220" s="600" customFormat="1" ht="12.75" customHeight="1"/>
    <row r="221" s="600" customFormat="1" ht="12.75" customHeight="1"/>
    <row r="222" s="600" customFormat="1" ht="12.75" customHeight="1"/>
    <row r="223" s="600" customFormat="1" ht="12.75" customHeight="1"/>
    <row r="224" s="600" customFormat="1" ht="12.75" customHeight="1"/>
    <row r="225" spans="1:14" s="600" customFormat="1" ht="12.75" customHeight="1"/>
    <row r="226" spans="1:14" s="600" customFormat="1" ht="12.75" customHeight="1"/>
    <row r="227" spans="1:14" s="600" customFormat="1" ht="12.75" customHeight="1"/>
    <row r="228" spans="1:14" s="600" customFormat="1" ht="12.75" customHeight="1"/>
    <row r="229" spans="1:14" ht="12.75" customHeight="1">
      <c r="A229" s="600"/>
      <c r="B229" s="600"/>
      <c r="C229" s="600"/>
      <c r="D229" s="600"/>
      <c r="E229" s="600"/>
      <c r="F229" s="600"/>
      <c r="G229" s="600"/>
      <c r="H229" s="600"/>
      <c r="I229" s="600"/>
      <c r="J229" s="600"/>
      <c r="K229" s="600"/>
      <c r="L229" s="600"/>
      <c r="M229" s="600"/>
      <c r="N229" s="600"/>
    </row>
    <row r="230" spans="1:14" ht="12.75" customHeight="1">
      <c r="A230" s="600"/>
      <c r="B230" s="600"/>
      <c r="C230" s="600"/>
      <c r="D230" s="600"/>
      <c r="E230" s="600"/>
      <c r="F230" s="600"/>
      <c r="G230" s="600"/>
      <c r="H230" s="600"/>
      <c r="I230" s="600"/>
      <c r="J230" s="600"/>
      <c r="K230" s="600"/>
      <c r="L230" s="600"/>
      <c r="M230" s="600"/>
      <c r="N230" s="600"/>
    </row>
    <row r="231" spans="1:14" ht="12.75" customHeight="1">
      <c r="A231" s="600"/>
      <c r="B231" s="600"/>
      <c r="C231" s="600"/>
      <c r="D231" s="600"/>
      <c r="E231" s="600"/>
      <c r="F231" s="600"/>
      <c r="G231" s="600"/>
      <c r="H231" s="600"/>
      <c r="I231" s="600"/>
      <c r="J231" s="600"/>
      <c r="K231" s="600"/>
      <c r="L231" s="600"/>
      <c r="M231" s="600"/>
      <c r="N231" s="600"/>
    </row>
  </sheetData>
  <sheetProtection selectLockedCells="1"/>
  <mergeCells count="2">
    <mergeCell ref="E114:G114"/>
    <mergeCell ref="B3:F3"/>
  </mergeCells>
  <dataValidations xWindow="505" yWindow="340" count="4">
    <dataValidation allowBlank="1" showInputMessage="1" showErrorMessage="1" promptTitle="Applicable Rates " prompt="52.0% on-campus, effective 7/1/16_x000a_53.0% on-campus, effective 7/1/17_x000a_26.0% off-campus_x000a_57.5% on-campus Instruction_x000a_36.0% on-campus Other Sponsored Activity_x000a_8% Training_x000a_10% TDC_x000a_11.11%   (10% Total Costs)_x000a_28.205% (22% Total Costs)_x000a_42.857% (30% Total Costs)" sqref="G109" xr:uid="{00000000-0002-0000-0200-000000000000}"/>
    <dataValidation type="list" allowBlank="1" showInputMessage="1" showErrorMessage="1" promptTitle="Applicable Rates " prompt="FY24_x000a_31.23% - Faculty_x000a_35.18% - Exempt_x000a_42.52% - CS/BU" sqref="G19 G7 G9 G11 G13 G15 G17" xr:uid="{00000000-0002-0000-0200-000001000000}">
      <formula1>RANGE1</formula1>
    </dataValidation>
    <dataValidation type="list" allowBlank="1" showInputMessage="1" showErrorMessage="1" promptTitle="Student FT PT" prompt="FY24_x000a_FT- 2.2%_x000a_PT-10%" sqref="G32 G30" xr:uid="{00000000-0002-0000-0200-000002000000}">
      <formula1>RANGE2</formula1>
    </dataValidation>
    <dataValidation type="list" allowBlank="1" showInputMessage="1" showErrorMessage="1" promptTitle="Non-Student Temporary" prompt="FY24_x000a_NO PERS - 10.07%_x000a_PERS - 19.46%_x000a_BOTH - 64.93%" sqref="G38 G34 G36" xr:uid="{00000000-0002-0000-0200-000003000000}">
      <formula1>RANGE3</formula1>
    </dataValidation>
  </dataValidations>
  <hyperlinks>
    <hyperlink ref="F95" r:id="rId1" xr:uid="{00000000-0004-0000-0200-000000000000}"/>
    <hyperlink ref="P10" r:id="rId2" xr:uid="{00000000-0004-0000-0200-000001000000}"/>
    <hyperlink ref="P13" r:id="rId3" xr:uid="{00000000-0004-0000-0200-000002000000}"/>
  </hyperlinks>
  <pageMargins left="0.03" right="0.03" top="0.03" bottom="0.03" header="0.03" footer="0.3"/>
  <pageSetup scale="49" orientation="portrait"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pageSetUpPr fitToPage="1"/>
  </sheetPr>
  <dimension ref="A1:X206"/>
  <sheetViews>
    <sheetView zoomScaleNormal="100" workbookViewId="0">
      <pane ySplit="2" topLeftCell="A3" activePane="bottomLeft" state="frozen"/>
      <selection activeCell="I10" sqref="I10"/>
      <selection pane="bottomLeft" activeCell="A2" sqref="A2"/>
    </sheetView>
  </sheetViews>
  <sheetFormatPr defaultRowHeight="12.75" customHeight="1"/>
  <cols>
    <col min="1" max="1" width="24" style="554" customWidth="1"/>
    <col min="2" max="2" width="12.140625" style="554" customWidth="1"/>
    <col min="3" max="3" width="9.5703125" style="554" customWidth="1"/>
    <col min="4" max="4" width="5.28515625" style="554" customWidth="1"/>
    <col min="5" max="5" width="8.28515625" style="554" customWidth="1"/>
    <col min="6" max="6" width="8.5703125" style="554" customWidth="1"/>
    <col min="7" max="7" width="11.7109375" style="556" customWidth="1"/>
    <col min="8" max="14" width="17.85546875" style="557" customWidth="1"/>
    <col min="15" max="15" width="13.42578125" style="554" customWidth="1"/>
    <col min="16" max="16" width="17.28515625" style="947" customWidth="1"/>
    <col min="17" max="17" width="7.28515625" style="947" hidden="1" customWidth="1"/>
    <col min="18" max="18" width="35.7109375" style="947" customWidth="1"/>
    <col min="19" max="20" width="17.42578125" style="546" customWidth="1"/>
    <col min="21" max="22" width="9.140625" style="546"/>
    <col min="23" max="16384" width="9.140625" style="554"/>
  </cols>
  <sheetData>
    <row r="1" spans="1:22" s="551" customFormat="1" ht="12.75" customHeight="1">
      <c r="A1" s="551" t="str">
        <f>'WSU Budget FY24'!A1</f>
        <v>IF ANY INTERNATIONAL COLLABORATION OR FOREIGN INVOLVEMENT IN THIS PROPOSAL IS EXPECTED PLEASE REVIEW THE INFORMATION FOUND AT http://www.orso.wsu.edu/international.asp</v>
      </c>
      <c r="G1" s="550"/>
      <c r="H1" s="946"/>
      <c r="I1" s="549"/>
      <c r="J1" s="549"/>
      <c r="K1" s="549"/>
      <c r="L1" s="549"/>
      <c r="M1" s="549"/>
      <c r="N1" s="548"/>
      <c r="Q1" s="947"/>
      <c r="R1"/>
      <c r="S1" s="546"/>
      <c r="T1" s="546"/>
      <c r="U1" s="546"/>
      <c r="V1" s="546"/>
    </row>
    <row r="2" spans="1:22" s="615" customFormat="1" ht="12.75" customHeight="1" thickBot="1">
      <c r="A2" s="612" t="s">
        <v>583</v>
      </c>
      <c r="B2" s="613"/>
      <c r="C2" s="613"/>
      <c r="D2" s="613"/>
      <c r="E2" s="613"/>
      <c r="F2" s="613"/>
      <c r="G2" s="614"/>
      <c r="H2" s="948" t="s">
        <v>550</v>
      </c>
      <c r="I2" s="949" t="s">
        <v>551</v>
      </c>
      <c r="J2" s="948" t="s">
        <v>552</v>
      </c>
      <c r="K2" s="949" t="s">
        <v>553</v>
      </c>
      <c r="L2" s="948" t="s">
        <v>554</v>
      </c>
      <c r="M2" s="949" t="s">
        <v>555</v>
      </c>
      <c r="N2" s="950" t="s">
        <v>339</v>
      </c>
      <c r="P2" s="546" t="s">
        <v>736</v>
      </c>
      <c r="Q2" s="546"/>
      <c r="R2" s="546"/>
      <c r="S2" s="546"/>
      <c r="T2" s="546"/>
      <c r="U2" s="546"/>
      <c r="V2" s="546"/>
    </row>
    <row r="3" spans="1:22" s="615" customFormat="1" ht="12.75" customHeight="1">
      <c r="B3" s="1425" t="s">
        <v>682</v>
      </c>
      <c r="C3" s="1425"/>
      <c r="D3" s="1425"/>
      <c r="E3" s="1425"/>
      <c r="G3" s="550"/>
      <c r="H3" s="952"/>
      <c r="I3" s="953"/>
      <c r="J3" s="952"/>
      <c r="K3" s="953"/>
      <c r="L3" s="952"/>
      <c r="M3" s="953"/>
      <c r="N3" s="954"/>
      <c r="O3" s="951"/>
      <c r="P3" s="1240" t="s">
        <v>738</v>
      </c>
      <c r="Q3" s="1231"/>
      <c r="R3" s="1232"/>
      <c r="S3" s="546"/>
      <c r="T3" s="546"/>
      <c r="U3" s="546"/>
      <c r="V3" s="546"/>
    </row>
    <row r="4" spans="1:22" s="615" customFormat="1" ht="12.75" customHeight="1">
      <c r="A4" s="616" t="s">
        <v>581</v>
      </c>
      <c r="B4" s="615" t="s">
        <v>610</v>
      </c>
      <c r="G4" s="550"/>
      <c r="H4" s="955"/>
      <c r="I4" s="956"/>
      <c r="J4" s="955"/>
      <c r="K4" s="956"/>
      <c r="L4" s="955"/>
      <c r="M4" s="956"/>
      <c r="N4" s="957"/>
      <c r="P4" s="1241" t="s">
        <v>733</v>
      </c>
      <c r="Q4" s="1233"/>
      <c r="R4" s="1234"/>
      <c r="S4" s="546"/>
      <c r="T4" s="546"/>
      <c r="U4" s="546"/>
      <c r="V4" s="546"/>
    </row>
    <row r="5" spans="1:22" ht="12.75" customHeight="1" thickBot="1">
      <c r="A5" s="958" t="s">
        <v>141</v>
      </c>
      <c r="B5" s="959" t="s">
        <v>45</v>
      </c>
      <c r="C5" s="959" t="s">
        <v>46</v>
      </c>
      <c r="D5" s="959"/>
      <c r="E5" s="959" t="s">
        <v>37</v>
      </c>
      <c r="F5" s="960"/>
      <c r="G5" s="961"/>
      <c r="H5" s="962"/>
      <c r="I5" s="962"/>
      <c r="J5" s="962"/>
      <c r="K5" s="962"/>
      <c r="L5" s="962"/>
      <c r="M5" s="962"/>
      <c r="N5" s="963"/>
      <c r="O5" s="557"/>
      <c r="P5" s="1241" t="s">
        <v>734</v>
      </c>
      <c r="Q5" s="1233"/>
      <c r="R5" s="1234"/>
    </row>
    <row r="6" spans="1:22" ht="12.75" customHeight="1" thickBot="1">
      <c r="A6" s="553" t="s">
        <v>338</v>
      </c>
      <c r="B6" s="617">
        <v>0</v>
      </c>
      <c r="C6" s="618">
        <v>0</v>
      </c>
      <c r="D6" s="618"/>
      <c r="E6" s="619">
        <v>0</v>
      </c>
      <c r="F6" s="620"/>
      <c r="G6" s="621" t="s">
        <v>3</v>
      </c>
      <c r="H6" s="622">
        <f>ROUND(B6*C6*E6,0)</f>
        <v>0</v>
      </c>
      <c r="I6" s="623">
        <f>ROUND(H6*1.04,0)</f>
        <v>0</v>
      </c>
      <c r="J6" s="622">
        <f>ROUND(I6*1.04,0)</f>
        <v>0</v>
      </c>
      <c r="K6" s="624">
        <f>ROUND(J6*1.04,0)</f>
        <v>0</v>
      </c>
      <c r="L6" s="622">
        <f>ROUND(K6*1.04,0)</f>
        <v>0</v>
      </c>
      <c r="M6" s="624">
        <f>ROUND(L6*1.04,0)</f>
        <v>0</v>
      </c>
      <c r="N6" s="945">
        <f>SUM(H6:M6)</f>
        <v>0</v>
      </c>
      <c r="O6" s="557"/>
      <c r="P6" s="1242" t="s">
        <v>742</v>
      </c>
      <c r="Q6" s="1243"/>
      <c r="R6" s="1244"/>
    </row>
    <row r="7" spans="1:22" ht="12.75" customHeight="1">
      <c r="A7" s="626"/>
      <c r="B7" s="627"/>
      <c r="C7" s="628"/>
      <c r="D7" s="628"/>
      <c r="E7" s="629"/>
      <c r="F7" s="630" t="s">
        <v>11</v>
      </c>
      <c r="G7" s="631">
        <v>0.31228387518459322</v>
      </c>
      <c r="H7" s="945">
        <f t="shared" ref="H7:M7" si="0">ROUND(H6*$G7,0)</f>
        <v>0</v>
      </c>
      <c r="I7" s="624">
        <f t="shared" si="0"/>
        <v>0</v>
      </c>
      <c r="J7" s="945">
        <f t="shared" si="0"/>
        <v>0</v>
      </c>
      <c r="K7" s="624">
        <f t="shared" si="0"/>
        <v>0</v>
      </c>
      <c r="L7" s="945">
        <f t="shared" si="0"/>
        <v>0</v>
      </c>
      <c r="M7" s="624">
        <f t="shared" si="0"/>
        <v>0</v>
      </c>
      <c r="N7" s="945">
        <f t="shared" ref="N7:N27" si="1">SUM(H7:M7)</f>
        <v>0</v>
      </c>
      <c r="O7" s="557"/>
      <c r="P7" s="546"/>
      <c r="Q7" s="546"/>
      <c r="R7" s="546"/>
    </row>
    <row r="8" spans="1:22" ht="12.75" customHeight="1" thickBot="1">
      <c r="A8" s="553" t="s">
        <v>338</v>
      </c>
      <c r="B8" s="617">
        <v>0</v>
      </c>
      <c r="C8" s="618">
        <v>0</v>
      </c>
      <c r="D8" s="618"/>
      <c r="E8" s="619">
        <v>0</v>
      </c>
      <c r="F8" s="620"/>
      <c r="G8" s="621" t="s">
        <v>3</v>
      </c>
      <c r="H8" s="945">
        <f>ROUND(B8*C8*E8,0)</f>
        <v>0</v>
      </c>
      <c r="I8" s="624">
        <f>ROUND(H8*1.04,0)</f>
        <v>0</v>
      </c>
      <c r="J8" s="945">
        <f>ROUND(I8*1.04,0)</f>
        <v>0</v>
      </c>
      <c r="K8" s="624">
        <f>ROUND(J8*1.04,0)</f>
        <v>0</v>
      </c>
      <c r="L8" s="945">
        <f>ROUND(K8*1.04,0)</f>
        <v>0</v>
      </c>
      <c r="M8" s="624">
        <f>ROUND(L8*1.04,0)</f>
        <v>0</v>
      </c>
      <c r="N8" s="945">
        <f t="shared" si="1"/>
        <v>0</v>
      </c>
      <c r="O8" s="557"/>
      <c r="P8" s="546"/>
      <c r="Q8" s="546"/>
      <c r="R8" s="546"/>
    </row>
    <row r="9" spans="1:22" ht="12.75" customHeight="1" thickBot="1">
      <c r="A9" s="626"/>
      <c r="B9" s="627"/>
      <c r="C9" s="628"/>
      <c r="D9" s="628"/>
      <c r="E9" s="629"/>
      <c r="F9" s="630" t="s">
        <v>4</v>
      </c>
      <c r="G9" s="631">
        <v>0.31228387518459322</v>
      </c>
      <c r="H9" s="945">
        <f>ROUND(H8*$G9,0)</f>
        <v>0</v>
      </c>
      <c r="I9" s="624">
        <f>ROUND(I8*$G9,0)</f>
        <v>0</v>
      </c>
      <c r="J9" s="945">
        <f>ROUND(J8*$G9,0)</f>
        <v>0</v>
      </c>
      <c r="K9" s="624">
        <f>ROUND(K8*$G9,0)</f>
        <v>0</v>
      </c>
      <c r="L9" s="945">
        <f>ROUND(L8*$G9,0)</f>
        <v>0</v>
      </c>
      <c r="M9" s="624">
        <v>0</v>
      </c>
      <c r="N9" s="945">
        <f t="shared" si="1"/>
        <v>0</v>
      </c>
      <c r="O9" s="557"/>
      <c r="P9" s="1235" t="s">
        <v>735</v>
      </c>
      <c r="Q9" s="546"/>
      <c r="R9" s="546"/>
    </row>
    <row r="10" spans="1:22" ht="12.75" customHeight="1" thickBot="1">
      <c r="A10" s="632" t="s">
        <v>104</v>
      </c>
      <c r="B10" s="633">
        <v>0</v>
      </c>
      <c r="C10" s="634">
        <v>0</v>
      </c>
      <c r="D10" s="634"/>
      <c r="E10" s="635">
        <v>0</v>
      </c>
      <c r="F10" s="636"/>
      <c r="G10" s="637" t="s">
        <v>3</v>
      </c>
      <c r="H10" s="945">
        <f>ROUND(B10*C10*E10,0)</f>
        <v>0</v>
      </c>
      <c r="I10" s="624">
        <f>ROUND(H10*1.04,0)</f>
        <v>0</v>
      </c>
      <c r="J10" s="945">
        <f>ROUND(I10*1.04,0)</f>
        <v>0</v>
      </c>
      <c r="K10" s="624">
        <f>ROUND(J10*1.04,0)</f>
        <v>0</v>
      </c>
      <c r="L10" s="945">
        <f>ROUND(K10*1.04,0)</f>
        <v>0</v>
      </c>
      <c r="M10" s="624">
        <f>ROUND(L10*1.04,0)</f>
        <v>0</v>
      </c>
      <c r="N10" s="945">
        <f t="shared" si="1"/>
        <v>0</v>
      </c>
      <c r="O10" s="557"/>
      <c r="P10" s="1237" t="s">
        <v>737</v>
      </c>
      <c r="Q10" s="1229"/>
      <c r="R10" s="1229"/>
      <c r="S10" s="1229"/>
      <c r="T10" s="1230"/>
    </row>
    <row r="11" spans="1:22" ht="12.75" customHeight="1" thickBot="1">
      <c r="A11" s="638"/>
      <c r="B11" s="627"/>
      <c r="C11" s="628"/>
      <c r="D11" s="628"/>
      <c r="E11" s="629"/>
      <c r="F11" s="630" t="s">
        <v>4</v>
      </c>
      <c r="G11" s="631">
        <v>0.31228387518459322</v>
      </c>
      <c r="H11" s="945">
        <f t="shared" ref="H11:M11" si="2">ROUND(H10*$G11,0)</f>
        <v>0</v>
      </c>
      <c r="I11" s="624">
        <f t="shared" si="2"/>
        <v>0</v>
      </c>
      <c r="J11" s="945">
        <f t="shared" si="2"/>
        <v>0</v>
      </c>
      <c r="K11" s="624">
        <f t="shared" si="2"/>
        <v>0</v>
      </c>
      <c r="L11" s="945">
        <f t="shared" si="2"/>
        <v>0</v>
      </c>
      <c r="M11" s="624">
        <f t="shared" si="2"/>
        <v>0</v>
      </c>
      <c r="N11" s="945">
        <f t="shared" si="1"/>
        <v>0</v>
      </c>
      <c r="O11" s="557"/>
    </row>
    <row r="12" spans="1:22" ht="12.75" customHeight="1">
      <c r="A12" s="553" t="s">
        <v>104</v>
      </c>
      <c r="B12" s="617">
        <v>0</v>
      </c>
      <c r="C12" s="618">
        <v>0</v>
      </c>
      <c r="D12" s="618"/>
      <c r="E12" s="619">
        <v>0</v>
      </c>
      <c r="F12" s="620"/>
      <c r="G12" s="621" t="s">
        <v>3</v>
      </c>
      <c r="H12" s="945">
        <f>ROUND(B12*C12*E12,0)</f>
        <v>0</v>
      </c>
      <c r="I12" s="624">
        <f>ROUND(H12*1.04,0)</f>
        <v>0</v>
      </c>
      <c r="J12" s="945">
        <f>ROUND(I12*1.04,0)</f>
        <v>0</v>
      </c>
      <c r="K12" s="624">
        <f>ROUND(J12*1.04,0)</f>
        <v>0</v>
      </c>
      <c r="L12" s="945">
        <f>ROUND(K12*1.04,0)</f>
        <v>0</v>
      </c>
      <c r="M12" s="624">
        <f>ROUND(L12*1.04,0)</f>
        <v>0</v>
      </c>
      <c r="N12" s="945">
        <f t="shared" si="1"/>
        <v>0</v>
      </c>
      <c r="O12" s="557"/>
      <c r="P12" s="1297" t="s">
        <v>757</v>
      </c>
      <c r="Q12" s="1298"/>
      <c r="R12" s="1298"/>
      <c r="S12" s="1298"/>
      <c r="T12" s="1299"/>
    </row>
    <row r="13" spans="1:22" ht="12.75" customHeight="1" thickBot="1">
      <c r="A13" s="638"/>
      <c r="B13" s="627"/>
      <c r="C13" s="628"/>
      <c r="D13" s="628"/>
      <c r="E13" s="629"/>
      <c r="F13" s="630" t="s">
        <v>11</v>
      </c>
      <c r="G13" s="631">
        <v>0.31228387518459322</v>
      </c>
      <c r="H13" s="945">
        <f t="shared" ref="H13:M13" si="3">ROUND(H12*$G13,0)</f>
        <v>0</v>
      </c>
      <c r="I13" s="624">
        <f t="shared" si="3"/>
        <v>0</v>
      </c>
      <c r="J13" s="945">
        <f t="shared" si="3"/>
        <v>0</v>
      </c>
      <c r="K13" s="624">
        <f t="shared" si="3"/>
        <v>0</v>
      </c>
      <c r="L13" s="945">
        <f t="shared" si="3"/>
        <v>0</v>
      </c>
      <c r="M13" s="624">
        <f t="shared" si="3"/>
        <v>0</v>
      </c>
      <c r="N13" s="945">
        <f t="shared" si="1"/>
        <v>0</v>
      </c>
      <c r="O13" s="557"/>
      <c r="P13" s="1300" t="s">
        <v>756</v>
      </c>
      <c r="Q13" s="1301"/>
      <c r="R13" s="1301"/>
      <c r="S13" s="1301"/>
      <c r="T13" s="1244"/>
    </row>
    <row r="14" spans="1:22" ht="12.75" customHeight="1">
      <c r="A14" s="553" t="s">
        <v>104</v>
      </c>
      <c r="B14" s="617">
        <v>0</v>
      </c>
      <c r="C14" s="618">
        <v>0</v>
      </c>
      <c r="D14" s="618"/>
      <c r="E14" s="619">
        <v>0</v>
      </c>
      <c r="F14" s="620"/>
      <c r="G14" s="621" t="s">
        <v>3</v>
      </c>
      <c r="H14" s="945">
        <f>ROUND(B14*C14*E14,0)</f>
        <v>0</v>
      </c>
      <c r="I14" s="624">
        <f>ROUND(H14*1.04,0)</f>
        <v>0</v>
      </c>
      <c r="J14" s="945">
        <f>ROUND(I14*1.04,0)</f>
        <v>0</v>
      </c>
      <c r="K14" s="624">
        <f>ROUND(J14*1.04,0)</f>
        <v>0</v>
      </c>
      <c r="L14" s="945">
        <f>ROUND(K14*1.04,0)</f>
        <v>0</v>
      </c>
      <c r="M14" s="624">
        <f>ROUND(L14*1.04,0)</f>
        <v>0</v>
      </c>
      <c r="N14" s="945">
        <f t="shared" si="1"/>
        <v>0</v>
      </c>
      <c r="O14" s="557"/>
    </row>
    <row r="15" spans="1:22" ht="12.75" customHeight="1">
      <c r="A15" s="638"/>
      <c r="B15" s="627"/>
      <c r="C15" s="628"/>
      <c r="D15" s="628"/>
      <c r="E15" s="629"/>
      <c r="F15" s="630" t="s">
        <v>4</v>
      </c>
      <c r="G15" s="631">
        <v>0.31228387518459322</v>
      </c>
      <c r="H15" s="945">
        <f t="shared" ref="H15:M15" si="4">ROUND(H14*$G15,0)</f>
        <v>0</v>
      </c>
      <c r="I15" s="624">
        <f t="shared" si="4"/>
        <v>0</v>
      </c>
      <c r="J15" s="945">
        <f t="shared" si="4"/>
        <v>0</v>
      </c>
      <c r="K15" s="624">
        <f t="shared" si="4"/>
        <v>0</v>
      </c>
      <c r="L15" s="945">
        <f t="shared" si="4"/>
        <v>0</v>
      </c>
      <c r="M15" s="624">
        <f t="shared" si="4"/>
        <v>0</v>
      </c>
      <c r="N15" s="945">
        <f t="shared" si="1"/>
        <v>0</v>
      </c>
      <c r="O15" s="557"/>
      <c r="Q15" s="947" t="s">
        <v>143</v>
      </c>
    </row>
    <row r="16" spans="1:22" ht="12.75" customHeight="1">
      <c r="A16" s="553" t="s">
        <v>106</v>
      </c>
      <c r="B16" s="617">
        <v>0</v>
      </c>
      <c r="C16" s="618">
        <v>0</v>
      </c>
      <c r="D16" s="618"/>
      <c r="E16" s="619">
        <v>0</v>
      </c>
      <c r="F16" s="620"/>
      <c r="G16" s="621" t="s">
        <v>3</v>
      </c>
      <c r="H16" s="945">
        <f>ROUND(B16*C16*E16,0)</f>
        <v>0</v>
      </c>
      <c r="I16" s="624">
        <f>ROUND(H16*1.04,0)</f>
        <v>0</v>
      </c>
      <c r="J16" s="945">
        <f>ROUND(I16*1.04,0)</f>
        <v>0</v>
      </c>
      <c r="K16" s="624">
        <f>ROUND(J16*1.04,0)</f>
        <v>0</v>
      </c>
      <c r="L16" s="945">
        <f>ROUND(K16*1.04,0)</f>
        <v>0</v>
      </c>
      <c r="M16" s="624">
        <f>ROUND(L16*1.04,0)</f>
        <v>0</v>
      </c>
      <c r="N16" s="945">
        <f t="shared" si="1"/>
        <v>0</v>
      </c>
      <c r="O16" s="557"/>
    </row>
    <row r="17" spans="1:22" ht="12.75" customHeight="1">
      <c r="A17" s="638"/>
      <c r="B17" s="627"/>
      <c r="C17" s="628"/>
      <c r="D17" s="628"/>
      <c r="E17" s="629"/>
      <c r="F17" s="630" t="s">
        <v>4</v>
      </c>
      <c r="G17" s="631">
        <v>0.35175650886738824</v>
      </c>
      <c r="H17" s="945">
        <f t="shared" ref="H17:M17" si="5">ROUND(H16*$G17,0)</f>
        <v>0</v>
      </c>
      <c r="I17" s="624">
        <f t="shared" si="5"/>
        <v>0</v>
      </c>
      <c r="J17" s="945">
        <f t="shared" si="5"/>
        <v>0</v>
      </c>
      <c r="K17" s="624">
        <f t="shared" si="5"/>
        <v>0</v>
      </c>
      <c r="L17" s="945">
        <f t="shared" si="5"/>
        <v>0</v>
      </c>
      <c r="M17" s="624">
        <f t="shared" si="5"/>
        <v>0</v>
      </c>
      <c r="N17" s="945">
        <f t="shared" si="1"/>
        <v>0</v>
      </c>
      <c r="O17" s="557"/>
    </row>
    <row r="18" spans="1:22" ht="12.75" customHeight="1">
      <c r="A18" s="632" t="s">
        <v>727</v>
      </c>
      <c r="B18" s="633">
        <v>0</v>
      </c>
      <c r="C18" s="634">
        <v>0</v>
      </c>
      <c r="D18" s="634"/>
      <c r="E18" s="635">
        <v>0</v>
      </c>
      <c r="F18" s="636"/>
      <c r="G18" s="637" t="s">
        <v>3</v>
      </c>
      <c r="H18" s="945">
        <f>ROUND(B18*C18*E18,0)</f>
        <v>0</v>
      </c>
      <c r="I18" s="624">
        <f>ROUND(H18*1.04,0)</f>
        <v>0</v>
      </c>
      <c r="J18" s="945">
        <f>ROUND(I18*1.04,0)</f>
        <v>0</v>
      </c>
      <c r="K18" s="624">
        <f>ROUND(J18*1.04,0)</f>
        <v>0</v>
      </c>
      <c r="L18" s="945">
        <f>ROUND(K18*1.04,0)</f>
        <v>0</v>
      </c>
      <c r="M18" s="624">
        <f>ROUND(L18*1.04,0)</f>
        <v>0</v>
      </c>
      <c r="N18" s="945">
        <f t="shared" si="1"/>
        <v>0</v>
      </c>
      <c r="O18" s="557"/>
    </row>
    <row r="19" spans="1:22" ht="12.75" customHeight="1">
      <c r="A19" s="638"/>
      <c r="B19" s="639"/>
      <c r="C19" s="640"/>
      <c r="D19" s="640"/>
      <c r="E19" s="641"/>
      <c r="F19" s="630" t="s">
        <v>4</v>
      </c>
      <c r="G19" s="631">
        <v>0.42515173030422782</v>
      </c>
      <c r="H19" s="945">
        <f t="shared" ref="H19:M19" si="6">ROUND(H18*$G19,0)</f>
        <v>0</v>
      </c>
      <c r="I19" s="624">
        <f t="shared" si="6"/>
        <v>0</v>
      </c>
      <c r="J19" s="945">
        <f t="shared" si="6"/>
        <v>0</v>
      </c>
      <c r="K19" s="624">
        <f t="shared" si="6"/>
        <v>0</v>
      </c>
      <c r="L19" s="945">
        <f t="shared" si="6"/>
        <v>0</v>
      </c>
      <c r="M19" s="624">
        <f t="shared" si="6"/>
        <v>0</v>
      </c>
      <c r="N19" s="945">
        <f t="shared" si="1"/>
        <v>0</v>
      </c>
      <c r="O19" s="557"/>
    </row>
    <row r="20" spans="1:22" ht="12.75" customHeight="1">
      <c r="A20" s="553" t="s">
        <v>556</v>
      </c>
      <c r="B20" s="642"/>
      <c r="C20" s="643"/>
      <c r="D20" s="643"/>
      <c r="E20" s="644" t="s">
        <v>143</v>
      </c>
      <c r="G20" s="621" t="s">
        <v>3</v>
      </c>
      <c r="H20" s="945">
        <v>0</v>
      </c>
      <c r="I20" s="624">
        <f t="shared" ref="I20:M22" si="7">ROUND(H20*1.04,0)</f>
        <v>0</v>
      </c>
      <c r="J20" s="945">
        <f t="shared" si="7"/>
        <v>0</v>
      </c>
      <c r="K20" s="624">
        <f t="shared" si="7"/>
        <v>0</v>
      </c>
      <c r="L20" s="945">
        <f t="shared" si="7"/>
        <v>0</v>
      </c>
      <c r="M20" s="624">
        <f t="shared" si="7"/>
        <v>0</v>
      </c>
      <c r="N20" s="945">
        <f t="shared" si="1"/>
        <v>0</v>
      </c>
      <c r="O20" s="557"/>
    </row>
    <row r="21" spans="1:22" ht="12.75" customHeight="1">
      <c r="A21" s="756" t="s">
        <v>686</v>
      </c>
      <c r="B21" s="757"/>
      <c r="C21" s="650"/>
      <c r="D21" s="650"/>
      <c r="E21" s="641"/>
      <c r="G21" s="645" t="s">
        <v>5</v>
      </c>
      <c r="H21" s="945">
        <v>0</v>
      </c>
      <c r="I21" s="624">
        <f t="shared" si="7"/>
        <v>0</v>
      </c>
      <c r="J21" s="945">
        <f t="shared" si="7"/>
        <v>0</v>
      </c>
      <c r="K21" s="624">
        <f t="shared" si="7"/>
        <v>0</v>
      </c>
      <c r="L21" s="945">
        <f t="shared" si="7"/>
        <v>0</v>
      </c>
      <c r="M21" s="624">
        <f t="shared" si="7"/>
        <v>0</v>
      </c>
      <c r="N21" s="945">
        <f t="shared" si="1"/>
        <v>0</v>
      </c>
      <c r="O21" s="557"/>
      <c r="P21" s="554"/>
      <c r="Q21" s="554"/>
      <c r="R21" s="554"/>
      <c r="S21" s="554"/>
      <c r="T21" s="554"/>
      <c r="U21" s="554"/>
      <c r="V21" s="554"/>
    </row>
    <row r="22" spans="1:22" ht="12.75" customHeight="1">
      <c r="A22" s="1171"/>
      <c r="B22" s="1172"/>
      <c r="C22" s="1173"/>
      <c r="D22" s="1173"/>
      <c r="E22" s="1174"/>
      <c r="F22" s="1175"/>
      <c r="G22" s="1176"/>
      <c r="H22" s="1177">
        <v>0</v>
      </c>
      <c r="I22" s="1178">
        <f t="shared" si="7"/>
        <v>0</v>
      </c>
      <c r="J22" s="1177">
        <f t="shared" si="7"/>
        <v>0</v>
      </c>
      <c r="K22" s="1178">
        <f t="shared" si="7"/>
        <v>0</v>
      </c>
      <c r="L22" s="1177">
        <f t="shared" si="7"/>
        <v>0</v>
      </c>
      <c r="M22" s="1178">
        <f t="shared" si="7"/>
        <v>0</v>
      </c>
      <c r="N22" s="1177">
        <f t="shared" si="1"/>
        <v>0</v>
      </c>
      <c r="O22" s="557"/>
      <c r="Q22" s="1041"/>
    </row>
    <row r="23" spans="1:22" ht="12.75" customHeight="1">
      <c r="A23" s="648"/>
      <c r="B23" s="649"/>
      <c r="C23" s="650"/>
      <c r="D23" s="650"/>
      <c r="E23" s="641"/>
      <c r="F23" s="651" t="s">
        <v>11</v>
      </c>
      <c r="G23" s="652">
        <v>0.153711544903991</v>
      </c>
      <c r="H23" s="945">
        <f t="shared" ref="H23:M23" si="8">ROUND(H20*$G$23,0)</f>
        <v>0</v>
      </c>
      <c r="I23" s="624">
        <f t="shared" si="8"/>
        <v>0</v>
      </c>
      <c r="J23" s="945">
        <f t="shared" si="8"/>
        <v>0</v>
      </c>
      <c r="K23" s="624">
        <f t="shared" si="8"/>
        <v>0</v>
      </c>
      <c r="L23" s="945">
        <f t="shared" si="8"/>
        <v>0</v>
      </c>
      <c r="M23" s="624">
        <f t="shared" si="8"/>
        <v>0</v>
      </c>
      <c r="N23" s="945">
        <f t="shared" si="1"/>
        <v>0</v>
      </c>
      <c r="O23" s="557"/>
      <c r="Q23" s="1041"/>
    </row>
    <row r="24" spans="1:22" ht="12.75" customHeight="1">
      <c r="A24" s="653" t="s">
        <v>557</v>
      </c>
      <c r="B24" s="642"/>
      <c r="C24" s="643"/>
      <c r="D24" s="643"/>
      <c r="E24" s="644" t="s">
        <v>143</v>
      </c>
      <c r="F24" s="654"/>
      <c r="G24" s="655" t="s">
        <v>3</v>
      </c>
      <c r="H24" s="945">
        <v>0</v>
      </c>
      <c r="I24" s="624">
        <f t="shared" ref="I24:M26" si="9">ROUND(H24*1.04,0)</f>
        <v>0</v>
      </c>
      <c r="J24" s="945">
        <f t="shared" si="9"/>
        <v>0</v>
      </c>
      <c r="K24" s="624">
        <f t="shared" si="9"/>
        <v>0</v>
      </c>
      <c r="L24" s="945">
        <f t="shared" si="9"/>
        <v>0</v>
      </c>
      <c r="M24" s="624">
        <f t="shared" si="9"/>
        <v>0</v>
      </c>
      <c r="N24" s="945">
        <f t="shared" si="1"/>
        <v>0</v>
      </c>
      <c r="O24" s="557"/>
      <c r="Q24" s="1041"/>
    </row>
    <row r="25" spans="1:22" ht="12.75" customHeight="1">
      <c r="A25" s="756" t="s">
        <v>686</v>
      </c>
      <c r="B25" s="757"/>
      <c r="C25" s="650"/>
      <c r="D25" s="650"/>
      <c r="E25" s="641"/>
      <c r="G25" s="645" t="s">
        <v>5</v>
      </c>
      <c r="H25" s="945">
        <v>0</v>
      </c>
      <c r="I25" s="624">
        <f t="shared" si="9"/>
        <v>0</v>
      </c>
      <c r="J25" s="945">
        <f t="shared" si="9"/>
        <v>0</v>
      </c>
      <c r="K25" s="624">
        <f t="shared" si="9"/>
        <v>0</v>
      </c>
      <c r="L25" s="945">
        <f t="shared" si="9"/>
        <v>0</v>
      </c>
      <c r="M25" s="624">
        <f t="shared" si="9"/>
        <v>0</v>
      </c>
      <c r="N25" s="945">
        <f t="shared" si="1"/>
        <v>0</v>
      </c>
      <c r="O25" s="557"/>
      <c r="P25" s="554"/>
      <c r="Q25" s="1040"/>
      <c r="R25" s="554"/>
      <c r="S25" s="554"/>
      <c r="T25" s="554"/>
      <c r="U25" s="554"/>
      <c r="V25" s="554"/>
    </row>
    <row r="26" spans="1:22" ht="12.75" customHeight="1">
      <c r="A26" s="1171"/>
      <c r="B26" s="1172"/>
      <c r="C26" s="1173"/>
      <c r="D26" s="1173"/>
      <c r="E26" s="1174"/>
      <c r="F26" s="1175"/>
      <c r="G26" s="1176"/>
      <c r="H26" s="1177">
        <v>0</v>
      </c>
      <c r="I26" s="1178">
        <f t="shared" si="9"/>
        <v>0</v>
      </c>
      <c r="J26" s="1177">
        <f t="shared" si="9"/>
        <v>0</v>
      </c>
      <c r="K26" s="1178">
        <f t="shared" si="9"/>
        <v>0</v>
      </c>
      <c r="L26" s="1177">
        <f t="shared" si="9"/>
        <v>0</v>
      </c>
      <c r="M26" s="1178">
        <f t="shared" si="9"/>
        <v>0</v>
      </c>
      <c r="N26" s="1177">
        <f t="shared" si="1"/>
        <v>0</v>
      </c>
      <c r="O26" s="557"/>
      <c r="Q26" s="1041"/>
    </row>
    <row r="27" spans="1:22" ht="12.75" customHeight="1" thickBot="1">
      <c r="A27" s="648"/>
      <c r="B27" s="649"/>
      <c r="C27" s="650"/>
      <c r="D27" s="650"/>
      <c r="E27" s="641"/>
      <c r="F27" s="651" t="s">
        <v>11</v>
      </c>
      <c r="G27" s="652">
        <v>0.153711544903991</v>
      </c>
      <c r="H27" s="656">
        <f t="shared" ref="H27:M27" si="10">ROUND(H24*$G$27,0)</f>
        <v>0</v>
      </c>
      <c r="I27" s="624">
        <f t="shared" si="10"/>
        <v>0</v>
      </c>
      <c r="J27" s="656">
        <f t="shared" si="10"/>
        <v>0</v>
      </c>
      <c r="K27" s="624">
        <f t="shared" si="10"/>
        <v>0</v>
      </c>
      <c r="L27" s="656">
        <f t="shared" si="10"/>
        <v>0</v>
      </c>
      <c r="M27" s="624">
        <f t="shared" si="10"/>
        <v>0</v>
      </c>
      <c r="N27" s="945">
        <f t="shared" si="1"/>
        <v>0</v>
      </c>
      <c r="O27" s="557"/>
    </row>
    <row r="28" spans="1:22" ht="12.75" customHeight="1" thickBot="1">
      <c r="A28" s="964" t="s">
        <v>12</v>
      </c>
      <c r="B28" s="965" t="s">
        <v>47</v>
      </c>
      <c r="C28" s="965" t="s">
        <v>103</v>
      </c>
      <c r="D28" s="965"/>
      <c r="E28" s="965" t="s">
        <v>48</v>
      </c>
      <c r="F28" s="966"/>
      <c r="G28" s="967"/>
      <c r="H28" s="968"/>
      <c r="I28" s="968"/>
      <c r="J28" s="968"/>
      <c r="K28" s="968"/>
      <c r="L28" s="968"/>
      <c r="M28" s="968"/>
      <c r="N28" s="969"/>
      <c r="O28" s="557"/>
    </row>
    <row r="29" spans="1:22" ht="12.75" customHeight="1">
      <c r="A29" s="657" t="s">
        <v>101</v>
      </c>
      <c r="B29" s="658">
        <v>0</v>
      </c>
      <c r="C29" s="659">
        <v>0</v>
      </c>
      <c r="D29" s="659"/>
      <c r="E29" s="659">
        <v>0</v>
      </c>
      <c r="F29" s="621"/>
      <c r="G29" s="621" t="s">
        <v>6</v>
      </c>
      <c r="H29" s="660">
        <f>ROUND(B29*C29*E29,0)</f>
        <v>0</v>
      </c>
      <c r="I29" s="622">
        <f>ROUND(H29*1.04,0)</f>
        <v>0</v>
      </c>
      <c r="J29" s="624">
        <f>ROUND(I29*1.04,0)</f>
        <v>0</v>
      </c>
      <c r="K29" s="622">
        <f>ROUND(J29*1.04,0)</f>
        <v>0</v>
      </c>
      <c r="L29" s="624">
        <f>ROUND(K29*1.04,0)</f>
        <v>0</v>
      </c>
      <c r="M29" s="622">
        <f>ROUND(L29*1.04,0)</f>
        <v>0</v>
      </c>
      <c r="N29" s="945">
        <f>SUM(H29:M29)</f>
        <v>0</v>
      </c>
      <c r="O29" s="557"/>
    </row>
    <row r="30" spans="1:22" ht="12.75" customHeight="1">
      <c r="A30" s="661"/>
      <c r="B30" s="662"/>
      <c r="C30" s="663"/>
      <c r="D30" s="663"/>
      <c r="E30" s="663"/>
      <c r="F30" s="630" t="s">
        <v>4</v>
      </c>
      <c r="G30" s="631">
        <v>2.2021918678526046E-2</v>
      </c>
      <c r="H30" s="646">
        <f>ROUND(H29*$G$30,0)</f>
        <v>0</v>
      </c>
      <c r="I30" s="945">
        <f>ROUND(I29*$G$30,0)</f>
        <v>0</v>
      </c>
      <c r="J30" s="624">
        <f>ROUND(J29*$G$30,0)</f>
        <v>0</v>
      </c>
      <c r="K30" s="945">
        <f>ROUND(K29*$G$30,0)</f>
        <v>0</v>
      </c>
      <c r="L30" s="624">
        <f>ROUND(L29*$G$30,0)</f>
        <v>0</v>
      </c>
      <c r="M30" s="945">
        <f t="shared" ref="M30:M38" si="11">ROUND(L30*1.04,0)</f>
        <v>0</v>
      </c>
      <c r="N30" s="945">
        <f t="shared" ref="N30:N38" si="12">SUM(H30:M30)</f>
        <v>0</v>
      </c>
      <c r="O30" s="557"/>
    </row>
    <row r="31" spans="1:22" ht="12.75" customHeight="1">
      <c r="A31" s="657" t="s">
        <v>224</v>
      </c>
      <c r="B31" s="658">
        <v>0</v>
      </c>
      <c r="C31" s="659">
        <v>0</v>
      </c>
      <c r="D31" s="659"/>
      <c r="E31" s="659">
        <v>0</v>
      </c>
      <c r="F31" s="621"/>
      <c r="G31" s="621" t="s">
        <v>6</v>
      </c>
      <c r="H31" s="646">
        <f>ROUND(B31*C31*E31,0)</f>
        <v>0</v>
      </c>
      <c r="I31" s="945">
        <f>ROUND(H31*1.04,0)</f>
        <v>0</v>
      </c>
      <c r="J31" s="624">
        <f>ROUND(I31*1.04,0)</f>
        <v>0</v>
      </c>
      <c r="K31" s="945">
        <f>ROUND(J31*1.04,0)</f>
        <v>0</v>
      </c>
      <c r="L31" s="624">
        <f>ROUND(K31*1.04,0)</f>
        <v>0</v>
      </c>
      <c r="M31" s="945">
        <f t="shared" si="11"/>
        <v>0</v>
      </c>
      <c r="N31" s="945">
        <f t="shared" si="12"/>
        <v>0</v>
      </c>
      <c r="O31" s="557"/>
    </row>
    <row r="32" spans="1:22" ht="12.75" customHeight="1">
      <c r="A32" s="661"/>
      <c r="B32" s="662"/>
      <c r="C32" s="663"/>
      <c r="D32" s="663"/>
      <c r="E32" s="663"/>
      <c r="F32" s="630" t="s">
        <v>4</v>
      </c>
      <c r="G32" s="631">
        <v>0.1</v>
      </c>
      <c r="H32" s="646">
        <f>ROUND(H31*$G$32,0)</f>
        <v>0</v>
      </c>
      <c r="I32" s="945">
        <f>ROUND(I31*$G$32,0)</f>
        <v>0</v>
      </c>
      <c r="J32" s="624">
        <f>ROUND(J31*$G$32,0)</f>
        <v>0</v>
      </c>
      <c r="K32" s="945">
        <f>ROUND(K31*$G$32,0)</f>
        <v>0</v>
      </c>
      <c r="L32" s="624">
        <f>ROUND(L31*$G$32,0)</f>
        <v>0</v>
      </c>
      <c r="M32" s="945">
        <f t="shared" si="11"/>
        <v>0</v>
      </c>
      <c r="N32" s="945">
        <f t="shared" si="12"/>
        <v>0</v>
      </c>
      <c r="O32" s="557"/>
    </row>
    <row r="33" spans="1:15" ht="12.75" customHeight="1">
      <c r="A33" s="653" t="s">
        <v>167</v>
      </c>
      <c r="B33" s="664">
        <v>0</v>
      </c>
      <c r="C33" s="665">
        <v>0</v>
      </c>
      <c r="D33" s="665"/>
      <c r="E33" s="665">
        <v>0</v>
      </c>
      <c r="F33" s="637"/>
      <c r="G33" s="637" t="s">
        <v>6</v>
      </c>
      <c r="H33" s="646">
        <f>ROUND(B33*C33*E33,0)</f>
        <v>0</v>
      </c>
      <c r="I33" s="945">
        <f>ROUND(H33*1.04,0)</f>
        <v>0</v>
      </c>
      <c r="J33" s="624">
        <f>ROUND(I33*1.04,0)</f>
        <v>0</v>
      </c>
      <c r="K33" s="945">
        <f>ROUND(J33*1.04,0)</f>
        <v>0</v>
      </c>
      <c r="L33" s="624">
        <f>ROUND(K33*1.04,0)</f>
        <v>0</v>
      </c>
      <c r="M33" s="945">
        <f t="shared" si="11"/>
        <v>0</v>
      </c>
      <c r="N33" s="945">
        <f t="shared" si="12"/>
        <v>0</v>
      </c>
      <c r="O33" s="557"/>
    </row>
    <row r="34" spans="1:15" ht="12.75" customHeight="1">
      <c r="A34" s="661"/>
      <c r="B34" s="662"/>
      <c r="C34" s="663"/>
      <c r="D34" s="663"/>
      <c r="E34" s="663"/>
      <c r="F34" s="630" t="s">
        <v>4</v>
      </c>
      <c r="G34" s="631">
        <v>0.10070111867852601</v>
      </c>
      <c r="H34" s="646">
        <f>ROUND(H33*$G$34,0)</f>
        <v>0</v>
      </c>
      <c r="I34" s="945">
        <f>ROUND(I33*$G$34,0)</f>
        <v>0</v>
      </c>
      <c r="J34" s="624">
        <f>ROUND(J33*$G$34,0)</f>
        <v>0</v>
      </c>
      <c r="K34" s="945">
        <f>ROUND(K33*$G$34,0)</f>
        <v>0</v>
      </c>
      <c r="L34" s="624">
        <f>ROUND(L33*$G$34,0)</f>
        <v>0</v>
      </c>
      <c r="M34" s="945">
        <f t="shared" si="11"/>
        <v>0</v>
      </c>
      <c r="N34" s="945">
        <f t="shared" si="12"/>
        <v>0</v>
      </c>
      <c r="O34" s="557"/>
    </row>
    <row r="35" spans="1:15" ht="12.75" customHeight="1">
      <c r="A35" s="657" t="s">
        <v>170</v>
      </c>
      <c r="B35" s="658">
        <v>0</v>
      </c>
      <c r="C35" s="659">
        <v>0</v>
      </c>
      <c r="D35" s="659"/>
      <c r="E35" s="659">
        <v>0</v>
      </c>
      <c r="F35" s="621"/>
      <c r="G35" s="621" t="s">
        <v>6</v>
      </c>
      <c r="H35" s="646">
        <f>ROUND(B35*C35*E35,0)</f>
        <v>0</v>
      </c>
      <c r="I35" s="945">
        <f>ROUND(H35*1.04,0)</f>
        <v>0</v>
      </c>
      <c r="J35" s="624">
        <f>ROUND(I35*1.04,0)</f>
        <v>0</v>
      </c>
      <c r="K35" s="945">
        <f>ROUND(J35*1.04,0)</f>
        <v>0</v>
      </c>
      <c r="L35" s="624">
        <f>ROUND(K35*1.04,0)</f>
        <v>0</v>
      </c>
      <c r="M35" s="945">
        <f t="shared" si="11"/>
        <v>0</v>
      </c>
      <c r="N35" s="945">
        <f t="shared" si="12"/>
        <v>0</v>
      </c>
      <c r="O35" s="557"/>
    </row>
    <row r="36" spans="1:15" ht="12.75" customHeight="1">
      <c r="A36" s="661"/>
      <c r="B36" s="662"/>
      <c r="C36" s="663"/>
      <c r="D36" s="663"/>
      <c r="E36" s="663"/>
      <c r="F36" s="630" t="s">
        <v>4</v>
      </c>
      <c r="G36" s="631">
        <v>0.194601118678526</v>
      </c>
      <c r="H36" s="646">
        <f>ROUND(H35*$G$36,0)</f>
        <v>0</v>
      </c>
      <c r="I36" s="945">
        <f>ROUND(I35*$G$36,0)</f>
        <v>0</v>
      </c>
      <c r="J36" s="624">
        <f>ROUND(J35*$G$36,0)</f>
        <v>0</v>
      </c>
      <c r="K36" s="945">
        <f>ROUND(K35*$G$36,0)</f>
        <v>0</v>
      </c>
      <c r="L36" s="624">
        <f>ROUND(L35*$G$36,0)</f>
        <v>0</v>
      </c>
      <c r="M36" s="945">
        <f t="shared" si="11"/>
        <v>0</v>
      </c>
      <c r="N36" s="945">
        <f t="shared" si="12"/>
        <v>0</v>
      </c>
      <c r="O36" s="557"/>
    </row>
    <row r="37" spans="1:15" ht="12.75" customHeight="1">
      <c r="A37" s="657" t="s">
        <v>171</v>
      </c>
      <c r="B37" s="658">
        <v>0</v>
      </c>
      <c r="C37" s="659">
        <v>0</v>
      </c>
      <c r="D37" s="659"/>
      <c r="E37" s="659">
        <v>0</v>
      </c>
      <c r="F37" s="651"/>
      <c r="G37" s="621" t="s">
        <v>6</v>
      </c>
      <c r="H37" s="646">
        <f>ROUND(B37*C37*E37,0)</f>
        <v>0</v>
      </c>
      <c r="I37" s="945">
        <f>ROUND(H37*1.04,0)</f>
        <v>0</v>
      </c>
      <c r="J37" s="624">
        <f>ROUND(I37*1.04,0)</f>
        <v>0</v>
      </c>
      <c r="K37" s="945">
        <f>ROUND(J37*1.04,0)</f>
        <v>0</v>
      </c>
      <c r="L37" s="624">
        <f>ROUND(K37*1.04,0)</f>
        <v>0</v>
      </c>
      <c r="M37" s="945">
        <f t="shared" si="11"/>
        <v>0</v>
      </c>
      <c r="N37" s="945">
        <f t="shared" si="12"/>
        <v>0</v>
      </c>
      <c r="O37" s="557"/>
    </row>
    <row r="38" spans="1:15" ht="12.75" customHeight="1">
      <c r="A38" s="661"/>
      <c r="B38" s="662"/>
      <c r="C38" s="663"/>
      <c r="D38" s="663"/>
      <c r="E38" s="663"/>
      <c r="F38" s="630" t="s">
        <v>4</v>
      </c>
      <c r="G38" s="631">
        <v>0.64925486709021596</v>
      </c>
      <c r="H38" s="646">
        <f>ROUND(H37*$G$38,0)</f>
        <v>0</v>
      </c>
      <c r="I38" s="666">
        <f>ROUND(I37*$G$38,0)</f>
        <v>0</v>
      </c>
      <c r="J38" s="667">
        <f>ROUND(J37*$G$38,0)</f>
        <v>0</v>
      </c>
      <c r="K38" s="666">
        <f>ROUND(K37*$G$38,0)</f>
        <v>0</v>
      </c>
      <c r="L38" s="667">
        <f>ROUND(L37*$G$38,0)</f>
        <v>0</v>
      </c>
      <c r="M38" s="945">
        <f t="shared" si="11"/>
        <v>0</v>
      </c>
      <c r="N38" s="945">
        <f t="shared" si="12"/>
        <v>0</v>
      </c>
      <c r="O38" s="557"/>
    </row>
    <row r="39" spans="1:15" ht="12.75" customHeight="1">
      <c r="A39" s="668"/>
      <c r="B39" s="551"/>
      <c r="C39" s="551"/>
      <c r="D39" s="551"/>
      <c r="E39" s="551"/>
      <c r="F39" s="551"/>
      <c r="G39" s="621" t="s">
        <v>28</v>
      </c>
      <c r="H39" s="970">
        <f t="shared" ref="H39:N39" si="13">H6+H8+H10+H12+H14+H16+H18+H20+H24</f>
        <v>0</v>
      </c>
      <c r="I39" s="971">
        <f t="shared" si="13"/>
        <v>0</v>
      </c>
      <c r="J39" s="972">
        <f t="shared" si="13"/>
        <v>0</v>
      </c>
      <c r="K39" s="971">
        <f t="shared" si="13"/>
        <v>0</v>
      </c>
      <c r="L39" s="972">
        <f>L6+L8+L10+L12+L14+L16+L18+L20+L24</f>
        <v>0</v>
      </c>
      <c r="M39" s="971">
        <f>M6+M8+M10+M12+M14+M16+M18+M20+M24</f>
        <v>0</v>
      </c>
      <c r="N39" s="971">
        <f t="shared" si="13"/>
        <v>0</v>
      </c>
      <c r="O39" s="624">
        <f>SUM(H39:M39)</f>
        <v>0</v>
      </c>
    </row>
    <row r="40" spans="1:15" ht="12.75" customHeight="1">
      <c r="A40" s="668"/>
      <c r="B40" s="551"/>
      <c r="C40" s="551"/>
      <c r="D40" s="551"/>
      <c r="E40" s="551"/>
      <c r="F40" s="551"/>
      <c r="G40" s="621" t="s">
        <v>29</v>
      </c>
      <c r="H40" s="973">
        <f t="shared" ref="H40:N40" si="14">H29+H31+H33+H35+H37</f>
        <v>0</v>
      </c>
      <c r="I40" s="974">
        <f t="shared" si="14"/>
        <v>0</v>
      </c>
      <c r="J40" s="975">
        <f t="shared" si="14"/>
        <v>0</v>
      </c>
      <c r="K40" s="974">
        <f t="shared" si="14"/>
        <v>0</v>
      </c>
      <c r="L40" s="975">
        <f t="shared" si="14"/>
        <v>0</v>
      </c>
      <c r="M40" s="974">
        <f t="shared" si="14"/>
        <v>0</v>
      </c>
      <c r="N40" s="974">
        <f t="shared" si="14"/>
        <v>0</v>
      </c>
      <c r="O40" s="624">
        <f>SUM(H40:M40)</f>
        <v>0</v>
      </c>
    </row>
    <row r="41" spans="1:15" ht="12.75" customHeight="1" thickBot="1">
      <c r="A41" s="657"/>
      <c r="G41" s="621" t="s">
        <v>26</v>
      </c>
      <c r="H41" s="976">
        <f t="shared" ref="H41:M41" si="15">SUM(ROUND(H39,0),ROUND(H40,0))</f>
        <v>0</v>
      </c>
      <c r="I41" s="977">
        <f t="shared" si="15"/>
        <v>0</v>
      </c>
      <c r="J41" s="978">
        <f t="shared" si="15"/>
        <v>0</v>
      </c>
      <c r="K41" s="977">
        <f t="shared" si="15"/>
        <v>0</v>
      </c>
      <c r="L41" s="975">
        <f t="shared" si="15"/>
        <v>0</v>
      </c>
      <c r="M41" s="977">
        <f t="shared" si="15"/>
        <v>0</v>
      </c>
      <c r="N41" s="974">
        <f>SUM(N39:N40)</f>
        <v>0</v>
      </c>
      <c r="O41" s="624">
        <f>SUM(H41:M41)</f>
        <v>0</v>
      </c>
    </row>
    <row r="42" spans="1:15" ht="12.75" customHeight="1" thickBot="1">
      <c r="A42" s="964" t="s">
        <v>23</v>
      </c>
      <c r="B42" s="965"/>
      <c r="C42" s="965"/>
      <c r="D42" s="965"/>
      <c r="E42" s="965"/>
      <c r="F42" s="966"/>
      <c r="G42" s="967"/>
      <c r="H42" s="979"/>
      <c r="I42" s="979"/>
      <c r="J42" s="979"/>
      <c r="K42" s="979"/>
      <c r="L42" s="979"/>
      <c r="M42" s="979"/>
      <c r="N42" s="969"/>
      <c r="O42" s="557"/>
    </row>
    <row r="43" spans="1:15" ht="12.75" customHeight="1">
      <c r="A43" s="1220"/>
      <c r="B43" s="1221"/>
      <c r="C43" s="1221"/>
      <c r="D43" s="1221"/>
      <c r="E43" s="1221"/>
      <c r="F43" s="1222"/>
      <c r="G43" s="1223" t="s">
        <v>8</v>
      </c>
      <c r="H43" s="1228">
        <f t="shared" ref="H43:M43" si="16">SUM(H21+H25)</f>
        <v>0</v>
      </c>
      <c r="I43" s="1228">
        <f t="shared" si="16"/>
        <v>0</v>
      </c>
      <c r="J43" s="1224">
        <f t="shared" si="16"/>
        <v>0</v>
      </c>
      <c r="K43" s="1227">
        <f t="shared" si="16"/>
        <v>0</v>
      </c>
      <c r="L43" s="1227">
        <f t="shared" si="16"/>
        <v>0</v>
      </c>
      <c r="M43" s="1228">
        <f t="shared" si="16"/>
        <v>0</v>
      </c>
      <c r="N43" s="1225">
        <f>SUM(H43:M43)</f>
        <v>0</v>
      </c>
      <c r="O43" s="624">
        <f>SUM(H43:M43)</f>
        <v>0</v>
      </c>
    </row>
    <row r="44" spans="1:15" ht="12.75" customHeight="1">
      <c r="A44" s="668"/>
      <c r="B44" s="551"/>
      <c r="C44" s="551"/>
      <c r="D44" s="551"/>
      <c r="E44" s="551"/>
      <c r="F44" s="551"/>
      <c r="G44" s="621" t="s">
        <v>731</v>
      </c>
      <c r="H44" s="782">
        <f t="shared" ref="H44:M44" si="17">SUM(ROUND(H7,0),ROUND(H9,0),ROUND(H11,0),ROUND(H13,0),ROUND(H15,0),ROUND(H17,0),ROUND(H19,0),ROUND(H22,0),ROUND(H23,0),ROUND(H26,0),ROUND(H27,0),ROUND(H30,0),ROUND(H32,0),ROUND(H34,0),ROUND(H36,0),ROUND(H38,0))</f>
        <v>0</v>
      </c>
      <c r="I44" s="782">
        <f t="shared" si="17"/>
        <v>0</v>
      </c>
      <c r="J44" s="782">
        <f t="shared" si="17"/>
        <v>0</v>
      </c>
      <c r="K44" s="782">
        <f t="shared" si="17"/>
        <v>0</v>
      </c>
      <c r="L44" s="782">
        <f t="shared" si="17"/>
        <v>0</v>
      </c>
      <c r="M44" s="783">
        <f t="shared" si="17"/>
        <v>0</v>
      </c>
      <c r="N44" s="1226">
        <f>N7+N9+N11+N13+N15+N17+N19+N22+N23+N26+N27+N30+N32+N34+N36+N38</f>
        <v>0</v>
      </c>
      <c r="O44" s="624">
        <f>SUM(H44:M44)</f>
        <v>0</v>
      </c>
    </row>
    <row r="45" spans="1:15" ht="12.75" customHeight="1" thickBot="1">
      <c r="A45" s="657"/>
      <c r="G45" s="621" t="s">
        <v>35</v>
      </c>
      <c r="H45" s="782">
        <f t="shared" ref="H45:M45" si="18">SUM(ROUND(H41,0),ROUND(H44,0),ROUND(H43,0))</f>
        <v>0</v>
      </c>
      <c r="I45" s="782">
        <f t="shared" si="18"/>
        <v>0</v>
      </c>
      <c r="J45" s="782">
        <f t="shared" si="18"/>
        <v>0</v>
      </c>
      <c r="K45" s="782">
        <f t="shared" si="18"/>
        <v>0</v>
      </c>
      <c r="L45" s="782">
        <f t="shared" si="18"/>
        <v>0</v>
      </c>
      <c r="M45" s="782">
        <f t="shared" si="18"/>
        <v>0</v>
      </c>
      <c r="N45" s="783">
        <f>N41+N44+N43</f>
        <v>0</v>
      </c>
      <c r="O45" s="624">
        <f>SUM(H45:M45)</f>
        <v>0</v>
      </c>
    </row>
    <row r="46" spans="1:15" ht="12.75" customHeight="1" thickBot="1">
      <c r="A46" s="964" t="s">
        <v>775</v>
      </c>
      <c r="B46" s="965"/>
      <c r="C46" s="965"/>
      <c r="D46" s="965"/>
      <c r="E46" s="965"/>
      <c r="F46" s="966"/>
      <c r="G46" s="967"/>
      <c r="H46" s="981"/>
      <c r="I46" s="981"/>
      <c r="J46" s="981"/>
      <c r="K46" s="981"/>
      <c r="L46" s="981"/>
      <c r="M46" s="981"/>
      <c r="N46" s="982"/>
      <c r="O46" s="557"/>
    </row>
    <row r="47" spans="1:15" ht="12.75" customHeight="1">
      <c r="A47" s="657"/>
      <c r="G47" s="554"/>
      <c r="H47" s="983">
        <v>0</v>
      </c>
      <c r="I47" s="980">
        <f>H47*1.04</f>
        <v>0</v>
      </c>
      <c r="J47" s="980">
        <f t="shared" ref="J47:M48" si="19">I47*1.04</f>
        <v>0</v>
      </c>
      <c r="K47" s="980">
        <f t="shared" si="19"/>
        <v>0</v>
      </c>
      <c r="L47" s="980">
        <f t="shared" si="19"/>
        <v>0</v>
      </c>
      <c r="M47" s="980">
        <f t="shared" si="19"/>
        <v>0</v>
      </c>
      <c r="N47" s="974">
        <f>SUM(H47:M47)</f>
        <v>0</v>
      </c>
      <c r="O47" s="624"/>
    </row>
    <row r="48" spans="1:15" ht="12.75" customHeight="1">
      <c r="A48" s="657"/>
      <c r="G48" s="554"/>
      <c r="H48" s="984">
        <v>0</v>
      </c>
      <c r="I48" s="974">
        <f>H48*1.04</f>
        <v>0</v>
      </c>
      <c r="J48" s="974">
        <f t="shared" si="19"/>
        <v>0</v>
      </c>
      <c r="K48" s="974">
        <f t="shared" si="19"/>
        <v>0</v>
      </c>
      <c r="L48" s="974">
        <f t="shared" si="19"/>
        <v>0</v>
      </c>
      <c r="M48" s="974">
        <f t="shared" si="19"/>
        <v>0</v>
      </c>
      <c r="N48" s="974">
        <f>SUM(H48:M48)</f>
        <v>0</v>
      </c>
      <c r="O48" s="624"/>
    </row>
    <row r="49" spans="1:22" ht="12.75" customHeight="1" thickBot="1">
      <c r="A49" s="668"/>
      <c r="B49" s="551"/>
      <c r="C49" s="551"/>
      <c r="D49" s="551"/>
      <c r="E49" s="551"/>
      <c r="F49" s="551"/>
      <c r="G49" s="621" t="s">
        <v>33</v>
      </c>
      <c r="H49" s="970">
        <f t="shared" ref="H49:N49" si="20">SUM(H47:H48)</f>
        <v>0</v>
      </c>
      <c r="I49" s="970">
        <f t="shared" si="20"/>
        <v>0</v>
      </c>
      <c r="J49" s="970">
        <f t="shared" si="20"/>
        <v>0</v>
      </c>
      <c r="K49" s="970">
        <f t="shared" si="20"/>
        <v>0</v>
      </c>
      <c r="L49" s="970">
        <f t="shared" si="20"/>
        <v>0</v>
      </c>
      <c r="M49" s="970">
        <f t="shared" si="20"/>
        <v>0</v>
      </c>
      <c r="N49" s="971">
        <f t="shared" si="20"/>
        <v>0</v>
      </c>
      <c r="O49" s="624">
        <f>SUM(H49:M49)</f>
        <v>0</v>
      </c>
    </row>
    <row r="50" spans="1:22" ht="12.75" customHeight="1" thickBot="1">
      <c r="A50" s="964" t="s">
        <v>781</v>
      </c>
      <c r="B50" s="965"/>
      <c r="C50" s="965"/>
      <c r="D50" s="965"/>
      <c r="E50" s="965"/>
      <c r="F50" s="966"/>
      <c r="G50" s="967"/>
      <c r="H50" s="979"/>
      <c r="I50" s="979"/>
      <c r="J50" s="979"/>
      <c r="K50" s="979"/>
      <c r="L50" s="979"/>
      <c r="M50" s="979"/>
      <c r="N50" s="985"/>
      <c r="O50" s="624"/>
    </row>
    <row r="51" spans="1:22" ht="12.75" customHeight="1">
      <c r="A51" s="657"/>
      <c r="G51" s="554"/>
      <c r="H51" s="671"/>
      <c r="I51" s="671"/>
      <c r="J51" s="671"/>
      <c r="K51" s="671"/>
      <c r="L51" s="671"/>
      <c r="M51" s="671"/>
      <c r="N51" s="945">
        <f>SUM(H51:M51)</f>
        <v>0</v>
      </c>
      <c r="O51" s="624"/>
    </row>
    <row r="52" spans="1:22" ht="12.75" customHeight="1">
      <c r="A52" s="657"/>
      <c r="G52" s="554"/>
      <c r="H52" s="673"/>
      <c r="I52" s="945"/>
      <c r="J52" s="945"/>
      <c r="K52" s="945"/>
      <c r="L52" s="945"/>
      <c r="M52" s="945"/>
      <c r="N52" s="945">
        <f>SUM(H52:M52)</f>
        <v>0</v>
      </c>
      <c r="O52" s="624"/>
    </row>
    <row r="53" spans="1:22" ht="12.75" customHeight="1">
      <c r="A53" s="657"/>
      <c r="G53" s="554"/>
      <c r="H53" s="673"/>
      <c r="I53" s="945"/>
      <c r="J53" s="945"/>
      <c r="K53" s="945"/>
      <c r="L53" s="945"/>
      <c r="M53" s="945"/>
      <c r="N53" s="945">
        <f t="shared" ref="N53:N59" si="21">SUM(H53:M53)</f>
        <v>0</v>
      </c>
      <c r="O53" s="624"/>
    </row>
    <row r="54" spans="1:22" ht="12.75" customHeight="1">
      <c r="A54" s="657"/>
      <c r="G54" s="554"/>
      <c r="H54" s="673"/>
      <c r="I54" s="945"/>
      <c r="J54" s="945"/>
      <c r="K54" s="945"/>
      <c r="L54" s="945"/>
      <c r="M54" s="945"/>
      <c r="N54" s="945">
        <f t="shared" si="21"/>
        <v>0</v>
      </c>
      <c r="O54" s="624"/>
    </row>
    <row r="55" spans="1:22" ht="12.75" customHeight="1">
      <c r="A55" s="657"/>
      <c r="G55" s="554"/>
      <c r="H55" s="673"/>
      <c r="I55" s="945"/>
      <c r="J55" s="945"/>
      <c r="K55" s="945"/>
      <c r="L55" s="945"/>
      <c r="M55" s="945"/>
      <c r="N55" s="945">
        <f t="shared" si="21"/>
        <v>0</v>
      </c>
      <c r="O55" s="624"/>
    </row>
    <row r="56" spans="1:22" ht="12.75" customHeight="1">
      <c r="A56" s="657"/>
      <c r="G56" s="554"/>
      <c r="H56" s="673"/>
      <c r="I56" s="945"/>
      <c r="J56" s="945"/>
      <c r="K56" s="945"/>
      <c r="L56" s="945"/>
      <c r="M56" s="945"/>
      <c r="N56" s="945">
        <f t="shared" si="21"/>
        <v>0</v>
      </c>
      <c r="O56" s="624"/>
    </row>
    <row r="57" spans="1:22" ht="12.75" customHeight="1">
      <c r="A57" s="657"/>
      <c r="G57" s="554"/>
      <c r="H57" s="673"/>
      <c r="I57" s="945"/>
      <c r="J57" s="945"/>
      <c r="K57" s="945"/>
      <c r="L57" s="945"/>
      <c r="M57" s="945"/>
      <c r="N57" s="945">
        <f t="shared" si="21"/>
        <v>0</v>
      </c>
      <c r="O57" s="624"/>
    </row>
    <row r="58" spans="1:22" ht="12.75" customHeight="1">
      <c r="A58" s="657"/>
      <c r="G58" s="554"/>
      <c r="H58" s="673"/>
      <c r="I58" s="945"/>
      <c r="J58" s="945"/>
      <c r="K58" s="945"/>
      <c r="L58" s="945"/>
      <c r="M58" s="945"/>
      <c r="N58" s="945">
        <f t="shared" si="21"/>
        <v>0</v>
      </c>
      <c r="O58" s="624"/>
    </row>
    <row r="59" spans="1:22" ht="12.75" customHeight="1">
      <c r="A59" s="657"/>
      <c r="G59" s="554"/>
      <c r="H59" s="672"/>
      <c r="I59" s="666"/>
      <c r="J59" s="666"/>
      <c r="K59" s="666"/>
      <c r="L59" s="666"/>
      <c r="M59" s="666"/>
      <c r="N59" s="945">
        <f t="shared" si="21"/>
        <v>0</v>
      </c>
      <c r="O59" s="624"/>
    </row>
    <row r="60" spans="1:22" ht="12.75" customHeight="1" thickBot="1">
      <c r="A60" s="668"/>
      <c r="B60" s="551"/>
      <c r="C60" s="551"/>
      <c r="D60" s="551"/>
      <c r="E60" s="551"/>
      <c r="F60" s="551"/>
      <c r="G60" s="621" t="s">
        <v>30</v>
      </c>
      <c r="H60" s="970">
        <f t="shared" ref="H60:N60" si="22">SUM(H51:H59)</f>
        <v>0</v>
      </c>
      <c r="I60" s="970">
        <f t="shared" si="22"/>
        <v>0</v>
      </c>
      <c r="J60" s="970">
        <f t="shared" si="22"/>
        <v>0</v>
      </c>
      <c r="K60" s="970">
        <f t="shared" si="22"/>
        <v>0</v>
      </c>
      <c r="L60" s="970">
        <f t="shared" si="22"/>
        <v>0</v>
      </c>
      <c r="M60" s="970">
        <f t="shared" si="22"/>
        <v>0</v>
      </c>
      <c r="N60" s="971">
        <f t="shared" si="22"/>
        <v>0</v>
      </c>
      <c r="O60" s="624">
        <f>SUM(H60:M60)</f>
        <v>0</v>
      </c>
    </row>
    <row r="61" spans="1:22" ht="12.75" customHeight="1" thickBot="1">
      <c r="A61" s="964" t="s">
        <v>13</v>
      </c>
      <c r="B61" s="965"/>
      <c r="C61" s="965"/>
      <c r="D61" s="965"/>
      <c r="E61" s="965"/>
      <c r="F61" s="966"/>
      <c r="G61" s="967"/>
      <c r="H61" s="968"/>
      <c r="I61" s="968"/>
      <c r="J61" s="968"/>
      <c r="K61" s="968"/>
      <c r="L61" s="968"/>
      <c r="M61" s="968"/>
      <c r="N61" s="985"/>
      <c r="O61" s="624"/>
    </row>
    <row r="62" spans="1:22" ht="12.75" customHeight="1">
      <c r="A62" s="657" t="s">
        <v>335</v>
      </c>
      <c r="G62" s="554"/>
      <c r="H62" s="622"/>
      <c r="I62" s="622"/>
      <c r="J62" s="622"/>
      <c r="K62" s="622"/>
      <c r="L62" s="622"/>
      <c r="M62" s="622"/>
      <c r="N62" s="945">
        <f>SUM(H62:M62)</f>
        <v>0</v>
      </c>
      <c r="O62" s="624">
        <f>SUM(H62:M62)</f>
        <v>0</v>
      </c>
      <c r="V62" s="546" t="s">
        <v>143</v>
      </c>
    </row>
    <row r="63" spans="1:22" ht="12.75" customHeight="1">
      <c r="A63" s="657" t="s">
        <v>7</v>
      </c>
      <c r="G63" s="554"/>
      <c r="H63" s="945"/>
      <c r="I63" s="945"/>
      <c r="J63" s="945"/>
      <c r="K63" s="945"/>
      <c r="L63" s="945"/>
      <c r="M63" s="945"/>
      <c r="N63" s="945">
        <f>SUM(H63:M63)</f>
        <v>0</v>
      </c>
      <c r="O63" s="624">
        <f>SUM(H63:M63)</f>
        <v>0</v>
      </c>
    </row>
    <row r="64" spans="1:22" ht="12.75" customHeight="1">
      <c r="A64" s="657"/>
      <c r="G64" s="554"/>
      <c r="H64" s="945"/>
      <c r="I64" s="945"/>
      <c r="J64" s="945"/>
      <c r="K64" s="945"/>
      <c r="L64" s="945"/>
      <c r="M64" s="945"/>
      <c r="N64" s="945">
        <f>SUM(H64:M64)</f>
        <v>0</v>
      </c>
      <c r="O64" s="624"/>
    </row>
    <row r="65" spans="1:19" ht="12.75" customHeight="1">
      <c r="A65" s="657"/>
      <c r="G65" s="554"/>
      <c r="H65" s="666"/>
      <c r="I65" s="666"/>
      <c r="J65" s="666"/>
      <c r="K65" s="666"/>
      <c r="L65" s="666"/>
      <c r="M65" s="666"/>
      <c r="N65" s="945">
        <f>SUM(H65:M65)</f>
        <v>0</v>
      </c>
      <c r="O65" s="624"/>
    </row>
    <row r="66" spans="1:19" ht="12.75" customHeight="1" thickBot="1">
      <c r="A66" s="657"/>
      <c r="G66" s="621" t="s">
        <v>31</v>
      </c>
      <c r="H66" s="970">
        <f t="shared" ref="H66:N66" si="23">ROUND(SUM(H62:H65),0)</f>
        <v>0</v>
      </c>
      <c r="I66" s="970">
        <f t="shared" si="23"/>
        <v>0</v>
      </c>
      <c r="J66" s="970">
        <f t="shared" si="23"/>
        <v>0</v>
      </c>
      <c r="K66" s="970">
        <f t="shared" si="23"/>
        <v>0</v>
      </c>
      <c r="L66" s="970">
        <f t="shared" si="23"/>
        <v>0</v>
      </c>
      <c r="M66" s="970">
        <f t="shared" si="23"/>
        <v>0</v>
      </c>
      <c r="N66" s="971">
        <f t="shared" si="23"/>
        <v>0</v>
      </c>
      <c r="O66" s="624">
        <f>SUM(H66:M66)</f>
        <v>0</v>
      </c>
    </row>
    <row r="67" spans="1:19" ht="12.75" hidden="1" customHeight="1" thickBot="1">
      <c r="A67" s="964" t="s">
        <v>14</v>
      </c>
      <c r="B67" s="965"/>
      <c r="C67" s="965"/>
      <c r="D67" s="965"/>
      <c r="E67" s="965"/>
      <c r="F67" s="966"/>
      <c r="G67" s="967"/>
      <c r="H67" s="968"/>
      <c r="I67" s="968"/>
      <c r="J67" s="968"/>
      <c r="K67" s="968"/>
      <c r="L67" s="968"/>
      <c r="M67" s="968"/>
      <c r="N67" s="985"/>
      <c r="O67" s="624"/>
    </row>
    <row r="68" spans="1:19" ht="12.75" hidden="1" customHeight="1">
      <c r="A68" s="657"/>
      <c r="G68" s="554"/>
      <c r="H68" s="622"/>
      <c r="I68" s="622"/>
      <c r="J68" s="622"/>
      <c r="K68" s="622"/>
      <c r="L68" s="622"/>
      <c r="M68" s="622"/>
      <c r="N68" s="945">
        <f>SUM(H68:M68)</f>
        <v>0</v>
      </c>
      <c r="O68" s="624"/>
    </row>
    <row r="69" spans="1:19" ht="12.75" hidden="1" customHeight="1">
      <c r="A69" s="657"/>
      <c r="G69" s="554"/>
      <c r="H69" s="945"/>
      <c r="I69" s="945"/>
      <c r="J69" s="945"/>
      <c r="K69" s="945"/>
      <c r="L69" s="945"/>
      <c r="M69" s="945"/>
      <c r="N69" s="945">
        <f>SUM(H69:M69)</f>
        <v>0</v>
      </c>
      <c r="O69" s="624"/>
    </row>
    <row r="70" spans="1:19" ht="12.75" hidden="1" customHeight="1">
      <c r="A70" s="657"/>
      <c r="G70" s="554"/>
      <c r="H70" s="666"/>
      <c r="I70" s="666"/>
      <c r="J70" s="666"/>
      <c r="K70" s="666"/>
      <c r="L70" s="666"/>
      <c r="M70" s="666"/>
      <c r="N70" s="945">
        <f>SUM(H70:M70)</f>
        <v>0</v>
      </c>
      <c r="O70" s="624"/>
    </row>
    <row r="71" spans="1:19" ht="12.75" hidden="1" customHeight="1" thickBot="1">
      <c r="A71" s="668"/>
      <c r="B71" s="551"/>
      <c r="C71" s="551"/>
      <c r="D71" s="551"/>
      <c r="E71" s="551"/>
      <c r="F71" s="551"/>
      <c r="G71" s="621" t="s">
        <v>34</v>
      </c>
      <c r="H71" s="986">
        <f t="shared" ref="H71:N71" si="24">SUM(H68:H70)</f>
        <v>0</v>
      </c>
      <c r="I71" s="986">
        <f t="shared" si="24"/>
        <v>0</v>
      </c>
      <c r="J71" s="986">
        <f t="shared" si="24"/>
        <v>0</v>
      </c>
      <c r="K71" s="986">
        <f t="shared" si="24"/>
        <v>0</v>
      </c>
      <c r="L71" s="986">
        <f t="shared" si="24"/>
        <v>0</v>
      </c>
      <c r="M71" s="986">
        <f t="shared" si="24"/>
        <v>0</v>
      </c>
      <c r="N71" s="986">
        <f t="shared" si="24"/>
        <v>0</v>
      </c>
      <c r="O71" s="624">
        <f>SUM(H71:M71)</f>
        <v>0</v>
      </c>
    </row>
    <row r="72" spans="1:19" ht="12.75" customHeight="1" thickBot="1">
      <c r="A72" s="964" t="s">
        <v>22</v>
      </c>
      <c r="B72" s="965"/>
      <c r="C72" s="965"/>
      <c r="D72" s="965"/>
      <c r="E72" s="965"/>
      <c r="F72" s="966"/>
      <c r="G72" s="967"/>
      <c r="H72" s="968"/>
      <c r="I72" s="968"/>
      <c r="J72" s="968"/>
      <c r="K72" s="968"/>
      <c r="L72" s="968"/>
      <c r="M72" s="968"/>
      <c r="N72" s="985"/>
      <c r="O72" s="624"/>
      <c r="S72" s="546" t="s">
        <v>143</v>
      </c>
    </row>
    <row r="73" spans="1:19" ht="12.75" customHeight="1">
      <c r="A73" s="657"/>
      <c r="G73" s="554"/>
      <c r="H73" s="622"/>
      <c r="I73" s="622"/>
      <c r="J73" s="622"/>
      <c r="K73" s="622"/>
      <c r="L73" s="622"/>
      <c r="M73" s="622"/>
      <c r="N73" s="945">
        <f>SUM(H73:M73)</f>
        <v>0</v>
      </c>
      <c r="O73" s="624"/>
      <c r="P73" s="947" t="s">
        <v>143</v>
      </c>
    </row>
    <row r="74" spans="1:19" ht="12.75" customHeight="1">
      <c r="A74" s="657"/>
      <c r="G74" s="554"/>
      <c r="H74" s="945"/>
      <c r="I74" s="945"/>
      <c r="J74" s="945"/>
      <c r="K74" s="945"/>
      <c r="L74" s="945"/>
      <c r="M74" s="945"/>
      <c r="N74" s="945">
        <f>SUM(H74:M74)</f>
        <v>0</v>
      </c>
      <c r="O74" s="624"/>
    </row>
    <row r="75" spans="1:19" ht="12.75" customHeight="1">
      <c r="A75" s="668"/>
      <c r="B75" s="551"/>
      <c r="C75" s="551"/>
      <c r="D75" s="551"/>
      <c r="E75" s="551"/>
      <c r="F75" s="551"/>
      <c r="G75" s="554"/>
      <c r="H75" s="666"/>
      <c r="I75" s="666"/>
      <c r="J75" s="666"/>
      <c r="K75" s="666"/>
      <c r="L75" s="666"/>
      <c r="M75" s="945"/>
      <c r="N75" s="945">
        <f>SUM(H75:M75)</f>
        <v>0</v>
      </c>
      <c r="O75" s="624"/>
    </row>
    <row r="76" spans="1:19" ht="12.75" customHeight="1" thickBot="1">
      <c r="A76" s="668"/>
      <c r="B76" s="551"/>
      <c r="C76" s="551"/>
      <c r="D76" s="551"/>
      <c r="E76" s="551"/>
      <c r="F76" s="551"/>
      <c r="G76" s="621" t="s">
        <v>27</v>
      </c>
      <c r="H76" s="986">
        <f t="shared" ref="H76:N76" si="25">SUM(H73:H75)</f>
        <v>0</v>
      </c>
      <c r="I76" s="986">
        <f t="shared" si="25"/>
        <v>0</v>
      </c>
      <c r="J76" s="986">
        <f t="shared" si="25"/>
        <v>0</v>
      </c>
      <c r="K76" s="986">
        <f t="shared" si="25"/>
        <v>0</v>
      </c>
      <c r="L76" s="986">
        <f t="shared" si="25"/>
        <v>0</v>
      </c>
      <c r="M76" s="986">
        <f t="shared" si="25"/>
        <v>0</v>
      </c>
      <c r="N76" s="986">
        <f t="shared" si="25"/>
        <v>0</v>
      </c>
      <c r="O76" s="624">
        <f>SUM(H76:M76)</f>
        <v>0</v>
      </c>
    </row>
    <row r="77" spans="1:19" ht="12.75" customHeight="1" thickBot="1">
      <c r="A77" s="964" t="s">
        <v>778</v>
      </c>
      <c r="B77" s="965"/>
      <c r="C77" s="965"/>
      <c r="D77" s="965"/>
      <c r="E77" s="965"/>
      <c r="F77" s="966"/>
      <c r="G77" s="967"/>
      <c r="H77" s="968"/>
      <c r="I77" s="968"/>
      <c r="J77" s="968"/>
      <c r="K77" s="968"/>
      <c r="L77" s="968"/>
      <c r="M77" s="968"/>
      <c r="N77" s="985"/>
      <c r="O77" s="624"/>
    </row>
    <row r="78" spans="1:19" ht="12.75" customHeight="1">
      <c r="A78" s="657"/>
      <c r="G78" s="554"/>
      <c r="H78" s="622"/>
      <c r="I78" s="622"/>
      <c r="J78" s="622"/>
      <c r="K78" s="622"/>
      <c r="L78" s="622"/>
      <c r="M78" s="622"/>
      <c r="N78" s="945">
        <f>SUM(H78:M78)</f>
        <v>0</v>
      </c>
      <c r="O78" s="624"/>
    </row>
    <row r="79" spans="1:19" ht="12.75" customHeight="1">
      <c r="A79" s="657"/>
      <c r="G79" s="554"/>
      <c r="H79" s="945"/>
      <c r="I79" s="945"/>
      <c r="J79" s="945"/>
      <c r="K79" s="945"/>
      <c r="L79" s="945"/>
      <c r="M79" s="945"/>
      <c r="N79" s="945">
        <f>SUM(H79:M79)</f>
        <v>0</v>
      </c>
      <c r="O79" s="624"/>
    </row>
    <row r="80" spans="1:19" ht="12.75" customHeight="1">
      <c r="A80" s="657"/>
      <c r="G80" s="554"/>
      <c r="H80" s="945"/>
      <c r="I80" s="945"/>
      <c r="J80" s="945"/>
      <c r="K80" s="945"/>
      <c r="L80" s="945"/>
      <c r="M80" s="945"/>
      <c r="N80" s="945">
        <f>SUM(H80:M80)</f>
        <v>0</v>
      </c>
      <c r="O80" s="624"/>
    </row>
    <row r="81" spans="1:24" ht="12.75" customHeight="1">
      <c r="A81" s="657"/>
      <c r="G81" s="554"/>
      <c r="H81" s="666"/>
      <c r="I81" s="666"/>
      <c r="J81" s="666"/>
      <c r="K81" s="666"/>
      <c r="L81" s="666"/>
      <c r="M81" s="666"/>
      <c r="N81" s="945">
        <f>SUM(H81:M81)</f>
        <v>0</v>
      </c>
      <c r="O81" s="624"/>
    </row>
    <row r="82" spans="1:24" ht="12.75" customHeight="1" thickBot="1">
      <c r="A82" s="668"/>
      <c r="B82" s="551"/>
      <c r="C82" s="551"/>
      <c r="D82" s="551"/>
      <c r="E82" s="551"/>
      <c r="F82" s="551"/>
      <c r="G82" s="621" t="s">
        <v>586</v>
      </c>
      <c r="H82" s="986">
        <f t="shared" ref="H82:N82" si="26">SUM(H78:H81)</f>
        <v>0</v>
      </c>
      <c r="I82" s="986">
        <f t="shared" si="26"/>
        <v>0</v>
      </c>
      <c r="J82" s="986">
        <f t="shared" si="26"/>
        <v>0</v>
      </c>
      <c r="K82" s="986">
        <f t="shared" si="26"/>
        <v>0</v>
      </c>
      <c r="L82" s="986">
        <f t="shared" si="26"/>
        <v>0</v>
      </c>
      <c r="M82" s="986">
        <f t="shared" si="26"/>
        <v>0</v>
      </c>
      <c r="N82" s="986">
        <f t="shared" si="26"/>
        <v>0</v>
      </c>
      <c r="O82" s="624">
        <f>SUM(H82:M82)</f>
        <v>0</v>
      </c>
    </row>
    <row r="83" spans="1:24" ht="12.75" customHeight="1" thickBot="1">
      <c r="A83" s="964" t="s">
        <v>623</v>
      </c>
      <c r="B83" s="965"/>
      <c r="C83" s="965"/>
      <c r="D83" s="965"/>
      <c r="E83" s="965"/>
      <c r="F83" s="966"/>
      <c r="G83" s="967"/>
      <c r="H83" s="968"/>
      <c r="I83" s="968"/>
      <c r="J83" s="968"/>
      <c r="K83" s="968"/>
      <c r="L83" s="968"/>
      <c r="M83" s="968"/>
      <c r="N83" s="985"/>
      <c r="O83" s="624"/>
    </row>
    <row r="84" spans="1:24" ht="12.75" customHeight="1">
      <c r="A84" s="675" t="s">
        <v>624</v>
      </c>
      <c r="B84" s="676" t="s">
        <v>319</v>
      </c>
      <c r="C84" s="676" t="s">
        <v>320</v>
      </c>
      <c r="D84" s="676" t="s">
        <v>321</v>
      </c>
      <c r="E84" s="676" t="s">
        <v>322</v>
      </c>
      <c r="F84" s="676" t="s">
        <v>323</v>
      </c>
      <c r="G84" s="677"/>
      <c r="H84" s="678"/>
      <c r="I84" s="679"/>
      <c r="J84" s="679"/>
      <c r="K84" s="679"/>
      <c r="L84" s="679"/>
      <c r="M84" s="679"/>
      <c r="N84" s="680"/>
      <c r="O84" s="624"/>
    </row>
    <row r="85" spans="1:24" ht="12.75" customHeight="1">
      <c r="A85" s="553" t="s">
        <v>625</v>
      </c>
      <c r="B85" s="681"/>
      <c r="C85" s="681"/>
      <c r="D85" s="681"/>
      <c r="E85" s="681"/>
      <c r="F85" s="681"/>
      <c r="G85" s="681"/>
      <c r="H85" s="945">
        <f t="shared" ref="H85:M86" si="27">B85</f>
        <v>0</v>
      </c>
      <c r="I85" s="945">
        <f t="shared" si="27"/>
        <v>0</v>
      </c>
      <c r="J85" s="945">
        <f t="shared" si="27"/>
        <v>0</v>
      </c>
      <c r="K85" s="945">
        <f t="shared" si="27"/>
        <v>0</v>
      </c>
      <c r="L85" s="945">
        <f t="shared" si="27"/>
        <v>0</v>
      </c>
      <c r="M85" s="945">
        <f t="shared" si="27"/>
        <v>0</v>
      </c>
      <c r="N85" s="945">
        <f>SUM(H85:M85)</f>
        <v>0</v>
      </c>
      <c r="O85" s="624"/>
    </row>
    <row r="86" spans="1:24" ht="12.75" customHeight="1">
      <c r="A86" s="553" t="s">
        <v>626</v>
      </c>
      <c r="B86" s="681"/>
      <c r="C86" s="681"/>
      <c r="D86" s="681"/>
      <c r="E86" s="681"/>
      <c r="F86" s="681"/>
      <c r="G86" s="681"/>
      <c r="H86" s="945">
        <f t="shared" si="27"/>
        <v>0</v>
      </c>
      <c r="I86" s="945">
        <f t="shared" si="27"/>
        <v>0</v>
      </c>
      <c r="J86" s="945">
        <f t="shared" si="27"/>
        <v>0</v>
      </c>
      <c r="K86" s="945">
        <f t="shared" si="27"/>
        <v>0</v>
      </c>
      <c r="L86" s="945">
        <f t="shared" si="27"/>
        <v>0</v>
      </c>
      <c r="M86" s="945">
        <f t="shared" si="27"/>
        <v>0</v>
      </c>
      <c r="N86" s="945">
        <f>SUM(H86:M86)</f>
        <v>0</v>
      </c>
      <c r="O86" s="624"/>
    </row>
    <row r="87" spans="1:24" ht="12.75" customHeight="1">
      <c r="A87" s="682" t="s">
        <v>627</v>
      </c>
      <c r="B87" s="683" t="s">
        <v>319</v>
      </c>
      <c r="C87" s="683" t="s">
        <v>320</v>
      </c>
      <c r="D87" s="683" t="s">
        <v>321</v>
      </c>
      <c r="E87" s="683" t="s">
        <v>322</v>
      </c>
      <c r="F87" s="683" t="s">
        <v>323</v>
      </c>
      <c r="G87" s="684"/>
      <c r="H87" s="685"/>
      <c r="I87" s="686"/>
      <c r="J87" s="686"/>
      <c r="K87" s="686"/>
      <c r="L87" s="686"/>
      <c r="M87" s="686"/>
      <c r="N87" s="687"/>
      <c r="O87" s="624"/>
    </row>
    <row r="88" spans="1:24" ht="12.75" customHeight="1">
      <c r="A88" s="553" t="s">
        <v>625</v>
      </c>
      <c r="B88" s="681"/>
      <c r="C88" s="681"/>
      <c r="D88" s="681"/>
      <c r="E88" s="681"/>
      <c r="F88" s="681"/>
      <c r="G88" s="681"/>
      <c r="H88" s="945">
        <f t="shared" ref="H88:M89" si="28">B88</f>
        <v>0</v>
      </c>
      <c r="I88" s="945">
        <f t="shared" si="28"/>
        <v>0</v>
      </c>
      <c r="J88" s="945">
        <f t="shared" si="28"/>
        <v>0</v>
      </c>
      <c r="K88" s="945">
        <f t="shared" si="28"/>
        <v>0</v>
      </c>
      <c r="L88" s="945">
        <f t="shared" si="28"/>
        <v>0</v>
      </c>
      <c r="M88" s="945">
        <f t="shared" si="28"/>
        <v>0</v>
      </c>
      <c r="N88" s="945">
        <f>SUM(H88:M88)</f>
        <v>0</v>
      </c>
      <c r="O88" s="624"/>
    </row>
    <row r="89" spans="1:24" ht="12.75" customHeight="1">
      <c r="A89" s="553" t="s">
        <v>626</v>
      </c>
      <c r="B89" s="681"/>
      <c r="C89" s="681"/>
      <c r="D89" s="681"/>
      <c r="E89" s="681"/>
      <c r="F89" s="681"/>
      <c r="G89" s="681"/>
      <c r="H89" s="666">
        <f t="shared" si="28"/>
        <v>0</v>
      </c>
      <c r="I89" s="666">
        <f t="shared" si="28"/>
        <v>0</v>
      </c>
      <c r="J89" s="666">
        <f t="shared" si="28"/>
        <v>0</v>
      </c>
      <c r="K89" s="666">
        <f t="shared" si="28"/>
        <v>0</v>
      </c>
      <c r="L89" s="666">
        <f t="shared" si="28"/>
        <v>0</v>
      </c>
      <c r="M89" s="945">
        <f t="shared" si="28"/>
        <v>0</v>
      </c>
      <c r="N89" s="945">
        <f>SUM(H89:M89)</f>
        <v>0</v>
      </c>
      <c r="O89" s="624"/>
    </row>
    <row r="90" spans="1:24" ht="12.75" customHeight="1">
      <c r="A90" s="657"/>
      <c r="B90" s="681"/>
      <c r="C90" s="681"/>
      <c r="D90" s="681"/>
      <c r="G90" s="651" t="s">
        <v>274</v>
      </c>
      <c r="H90" s="670">
        <f t="shared" ref="H90:N91" si="29">H85+H88</f>
        <v>0</v>
      </c>
      <c r="I90" s="670">
        <f t="shared" si="29"/>
        <v>0</v>
      </c>
      <c r="J90" s="670">
        <f t="shared" si="29"/>
        <v>0</v>
      </c>
      <c r="K90" s="670">
        <f t="shared" si="29"/>
        <v>0</v>
      </c>
      <c r="L90" s="670">
        <f t="shared" si="29"/>
        <v>0</v>
      </c>
      <c r="M90" s="670">
        <f t="shared" si="29"/>
        <v>0</v>
      </c>
      <c r="N90" s="670">
        <f t="shared" si="29"/>
        <v>0</v>
      </c>
      <c r="O90" s="624">
        <f>SUM(H90:M90)</f>
        <v>0</v>
      </c>
    </row>
    <row r="91" spans="1:24" ht="12.75" customHeight="1">
      <c r="A91" s="657"/>
      <c r="B91" s="681"/>
      <c r="C91" s="681"/>
      <c r="D91" s="681"/>
      <c r="G91" s="651" t="s">
        <v>275</v>
      </c>
      <c r="H91" s="670">
        <f t="shared" si="29"/>
        <v>0</v>
      </c>
      <c r="I91" s="670">
        <f t="shared" si="29"/>
        <v>0</v>
      </c>
      <c r="J91" s="670">
        <f t="shared" si="29"/>
        <v>0</v>
      </c>
      <c r="K91" s="670">
        <f t="shared" si="29"/>
        <v>0</v>
      </c>
      <c r="L91" s="670">
        <f t="shared" si="29"/>
        <v>0</v>
      </c>
      <c r="M91" s="670">
        <f t="shared" si="29"/>
        <v>0</v>
      </c>
      <c r="N91" s="670">
        <f>N86+N89</f>
        <v>0</v>
      </c>
      <c r="O91" s="624">
        <f>SUM(H91:M91)</f>
        <v>0</v>
      </c>
      <c r="W91" s="545"/>
      <c r="X91" s="545"/>
    </row>
    <row r="92" spans="1:24" ht="12.75" customHeight="1" thickBot="1">
      <c r="A92" s="657"/>
      <c r="C92" s="688"/>
      <c r="G92" s="621" t="s">
        <v>32</v>
      </c>
      <c r="H92" s="674">
        <f t="shared" ref="H92:N92" si="30">SUM(H90:H91)</f>
        <v>0</v>
      </c>
      <c r="I92" s="674">
        <f t="shared" si="30"/>
        <v>0</v>
      </c>
      <c r="J92" s="674">
        <f t="shared" si="30"/>
        <v>0</v>
      </c>
      <c r="K92" s="674">
        <f t="shared" si="30"/>
        <v>0</v>
      </c>
      <c r="L92" s="674">
        <f t="shared" si="30"/>
        <v>0</v>
      </c>
      <c r="M92" s="674">
        <f t="shared" si="30"/>
        <v>0</v>
      </c>
      <c r="N92" s="670">
        <f t="shared" si="30"/>
        <v>0</v>
      </c>
      <c r="O92" s="624">
        <f>SUM(H92:M92)</f>
        <v>0</v>
      </c>
      <c r="W92" s="545"/>
      <c r="X92" s="545"/>
    </row>
    <row r="93" spans="1:24" ht="12.75" customHeight="1" thickBot="1">
      <c r="A93" s="964" t="s">
        <v>608</v>
      </c>
      <c r="B93" s="987"/>
      <c r="C93" s="965"/>
      <c r="D93" s="965"/>
      <c r="E93" s="988"/>
      <c r="F93" s="987" t="s">
        <v>760</v>
      </c>
      <c r="G93" s="967"/>
      <c r="H93" s="979"/>
      <c r="I93" s="979"/>
      <c r="J93" s="979"/>
      <c r="K93" s="979"/>
      <c r="L93" s="979"/>
      <c r="M93" s="979"/>
      <c r="N93" s="969"/>
      <c r="O93" s="557"/>
    </row>
    <row r="94" spans="1:24" s="546" customFormat="1" ht="12.75" customHeight="1">
      <c r="A94" s="689"/>
      <c r="B94" s="554"/>
      <c r="C94" s="554"/>
      <c r="D94" s="554"/>
      <c r="E94" s="554"/>
      <c r="F94" s="554"/>
      <c r="G94" s="554"/>
      <c r="H94" s="690"/>
      <c r="I94" s="945"/>
      <c r="J94" s="622"/>
      <c r="K94" s="622"/>
      <c r="L94" s="622"/>
      <c r="M94" s="622"/>
      <c r="N94" s="945">
        <f>SUM(H94:M94)</f>
        <v>0</v>
      </c>
      <c r="O94" s="557"/>
      <c r="P94" s="989"/>
      <c r="Q94" s="947"/>
      <c r="R94" s="947"/>
    </row>
    <row r="95" spans="1:24" s="546" customFormat="1" ht="12.75" customHeight="1">
      <c r="A95" s="689"/>
      <c r="B95" s="554"/>
      <c r="C95" s="554"/>
      <c r="D95" s="554"/>
      <c r="E95" s="554"/>
      <c r="F95" s="554"/>
      <c r="G95" s="554"/>
      <c r="H95" s="690"/>
      <c r="I95" s="945"/>
      <c r="J95" s="945"/>
      <c r="K95" s="945"/>
      <c r="L95" s="945"/>
      <c r="M95" s="945"/>
      <c r="N95" s="945">
        <f>SUM(H95:M95)</f>
        <v>0</v>
      </c>
      <c r="O95" s="557"/>
      <c r="P95" s="947"/>
      <c r="Q95" s="947"/>
      <c r="R95" s="947"/>
    </row>
    <row r="96" spans="1:24" s="546" customFormat="1" ht="12.75" customHeight="1">
      <c r="A96" s="689"/>
      <c r="B96" s="554"/>
      <c r="C96" s="554"/>
      <c r="D96" s="554"/>
      <c r="E96" s="554"/>
      <c r="F96" s="554"/>
      <c r="G96" s="554"/>
      <c r="H96" s="690"/>
      <c r="I96" s="945"/>
      <c r="J96" s="945"/>
      <c r="K96" s="945"/>
      <c r="L96" s="945"/>
      <c r="M96" s="945"/>
      <c r="N96" s="945">
        <f>SUM(H96:M96)</f>
        <v>0</v>
      </c>
      <c r="O96" s="557"/>
      <c r="P96" s="947"/>
      <c r="Q96" s="947"/>
      <c r="R96" s="947"/>
    </row>
    <row r="97" spans="1:24" s="546" customFormat="1" ht="12.75" customHeight="1">
      <c r="A97" s="689"/>
      <c r="B97" s="554"/>
      <c r="C97" s="554"/>
      <c r="D97" s="554"/>
      <c r="E97" s="554"/>
      <c r="F97" s="554"/>
      <c r="G97" s="554"/>
      <c r="H97" s="690"/>
      <c r="I97" s="945"/>
      <c r="J97" s="945"/>
      <c r="K97" s="945"/>
      <c r="L97" s="945"/>
      <c r="M97" s="945"/>
      <c r="N97" s="945">
        <f>SUM(H97:M97)</f>
        <v>0</v>
      </c>
      <c r="O97" s="557"/>
      <c r="P97" s="947"/>
      <c r="Q97" s="947"/>
      <c r="R97"/>
    </row>
    <row r="98" spans="1:24" s="546" customFormat="1" ht="12.75" customHeight="1" thickBot="1">
      <c r="A98" s="657"/>
      <c r="B98" s="554"/>
      <c r="C98" s="554"/>
      <c r="D98" s="554"/>
      <c r="E98" s="554"/>
      <c r="F98" s="554"/>
      <c r="G98" s="621" t="s">
        <v>609</v>
      </c>
      <c r="H98" s="990">
        <f t="shared" ref="H98:M98" si="31">SUM(H94:H97)</f>
        <v>0</v>
      </c>
      <c r="I98" s="990">
        <f t="shared" si="31"/>
        <v>0</v>
      </c>
      <c r="J98" s="990">
        <f t="shared" si="31"/>
        <v>0</v>
      </c>
      <c r="K98" s="990">
        <f t="shared" si="31"/>
        <v>0</v>
      </c>
      <c r="L98" s="990">
        <f t="shared" si="31"/>
        <v>0</v>
      </c>
      <c r="M98" s="990">
        <f t="shared" si="31"/>
        <v>0</v>
      </c>
      <c r="N98" s="692">
        <f>SUM(N94:N97)</f>
        <v>0</v>
      </c>
      <c r="O98" s="624">
        <f>SUM(H98:M98)</f>
        <v>0</v>
      </c>
      <c r="P98" s="947"/>
      <c r="Q98" s="947"/>
      <c r="R98"/>
    </row>
    <row r="99" spans="1:24" s="1000" customFormat="1" ht="12.75" customHeight="1" thickBot="1">
      <c r="A99" s="1429" t="s">
        <v>318</v>
      </c>
      <c r="B99" s="1430"/>
      <c r="C99" s="1430"/>
      <c r="D99" s="1430"/>
      <c r="E99" s="1430"/>
      <c r="F99" s="1430"/>
      <c r="G99" s="1431"/>
      <c r="H99" s="991"/>
      <c r="I99" s="992"/>
      <c r="J99" s="993"/>
      <c r="K99" s="994"/>
      <c r="L99" s="992"/>
      <c r="M99" s="993"/>
      <c r="N99" s="995">
        <f>SUM(H99:M99)</f>
        <v>0</v>
      </c>
      <c r="O99" s="996"/>
      <c r="P99" s="997"/>
      <c r="Q99"/>
      <c r="R99"/>
      <c r="S99" s="998"/>
      <c r="T99" s="998"/>
      <c r="U99" s="998"/>
      <c r="V99" s="998"/>
      <c r="W99" s="999"/>
      <c r="X99" s="999"/>
    </row>
    <row r="100" spans="1:24" s="693" customFormat="1" ht="12.75" customHeight="1">
      <c r="A100" s="1432" t="s">
        <v>559</v>
      </c>
      <c r="B100" s="1433"/>
      <c r="C100" s="1433"/>
      <c r="D100" s="1433"/>
      <c r="E100" s="1433"/>
      <c r="F100" s="1433"/>
      <c r="G100" s="1434"/>
      <c r="H100" s="694">
        <f t="shared" ref="H100:N100" si="32">H99+H91</f>
        <v>0</v>
      </c>
      <c r="I100" s="695">
        <f t="shared" si="32"/>
        <v>0</v>
      </c>
      <c r="J100" s="695">
        <f t="shared" si="32"/>
        <v>0</v>
      </c>
      <c r="K100" s="695">
        <f t="shared" si="32"/>
        <v>0</v>
      </c>
      <c r="L100" s="695">
        <f t="shared" si="32"/>
        <v>0</v>
      </c>
      <c r="M100" s="695">
        <f t="shared" si="32"/>
        <v>0</v>
      </c>
      <c r="N100" s="695">
        <f t="shared" si="32"/>
        <v>0</v>
      </c>
      <c r="O100" s="624"/>
      <c r="P100" s="1001"/>
      <c r="Q100"/>
      <c r="R100"/>
      <c r="S100" s="998"/>
      <c r="T100" s="546"/>
      <c r="U100" s="546"/>
      <c r="V100" s="546"/>
      <c r="W100" s="545"/>
      <c r="X100" s="545"/>
    </row>
    <row r="101" spans="1:24" s="693" customFormat="1" ht="12.75" customHeight="1" thickBot="1">
      <c r="A101" s="696" t="s">
        <v>309</v>
      </c>
      <c r="B101" s="926"/>
      <c r="C101" s="926"/>
      <c r="D101" s="926"/>
      <c r="E101" s="926"/>
      <c r="F101" s="926"/>
      <c r="G101" s="927"/>
      <c r="H101" s="697">
        <f t="shared" ref="H101:N101" si="33">H45+H49+H60+H66+H71+H76+H82+H92+H98</f>
        <v>0</v>
      </c>
      <c r="I101" s="698">
        <f t="shared" si="33"/>
        <v>0</v>
      </c>
      <c r="J101" s="698">
        <f t="shared" si="33"/>
        <v>0</v>
      </c>
      <c r="K101" s="698">
        <f t="shared" si="33"/>
        <v>0</v>
      </c>
      <c r="L101" s="698">
        <f t="shared" si="33"/>
        <v>0</v>
      </c>
      <c r="M101" s="698">
        <f t="shared" si="33"/>
        <v>0</v>
      </c>
      <c r="N101" s="1002">
        <f t="shared" si="33"/>
        <v>0</v>
      </c>
      <c r="O101" s="624"/>
      <c r="P101" s="947"/>
      <c r="Q101"/>
      <c r="R101"/>
      <c r="S101" s="998"/>
      <c r="T101" s="546"/>
      <c r="U101" s="546"/>
      <c r="V101" s="546"/>
      <c r="W101" s="545"/>
      <c r="X101" s="545"/>
    </row>
    <row r="102" spans="1:24" s="551" customFormat="1" ht="12.75" customHeight="1" thickBot="1">
      <c r="A102" s="1435" t="s">
        <v>580</v>
      </c>
      <c r="B102" s="1436"/>
      <c r="C102" s="1436"/>
      <c r="D102" s="1436"/>
      <c r="E102" s="1436"/>
      <c r="F102" s="1436"/>
      <c r="G102" s="1437"/>
      <c r="H102" s="697">
        <f t="shared" ref="H102:N102" si="34">H100-H101</f>
        <v>0</v>
      </c>
      <c r="I102" s="699">
        <f t="shared" si="34"/>
        <v>0</v>
      </c>
      <c r="J102" s="699">
        <f t="shared" si="34"/>
        <v>0</v>
      </c>
      <c r="K102" s="699">
        <f t="shared" si="34"/>
        <v>0</v>
      </c>
      <c r="L102" s="699">
        <f t="shared" si="34"/>
        <v>0</v>
      </c>
      <c r="M102" s="1003">
        <f t="shared" si="34"/>
        <v>0</v>
      </c>
      <c r="N102" s="1004">
        <f t="shared" si="34"/>
        <v>0</v>
      </c>
      <c r="O102" s="700"/>
      <c r="P102" s="947"/>
      <c r="Q102"/>
      <c r="R102"/>
      <c r="S102" s="998"/>
      <c r="T102" s="546"/>
      <c r="U102" s="546"/>
      <c r="V102" s="546"/>
      <c r="W102" s="544"/>
      <c r="X102" s="544"/>
    </row>
    <row r="103" spans="1:24" ht="12.75" customHeight="1" thickBot="1">
      <c r="A103" s="964" t="s">
        <v>10</v>
      </c>
      <c r="B103" s="965"/>
      <c r="C103" s="965"/>
      <c r="D103" s="965"/>
      <c r="E103" s="965"/>
      <c r="F103" s="966"/>
      <c r="G103" s="967"/>
      <c r="H103" s="968"/>
      <c r="I103" s="968"/>
      <c r="J103" s="968"/>
      <c r="K103" s="968"/>
      <c r="L103" s="968"/>
      <c r="M103" s="968"/>
      <c r="N103" s="985"/>
      <c r="O103" s="624">
        <f>SUM(H103:L103)</f>
        <v>0</v>
      </c>
      <c r="Q103"/>
      <c r="R103"/>
      <c r="S103" s="998" t="s">
        <v>143</v>
      </c>
    </row>
    <row r="104" spans="1:24" ht="12.75" customHeight="1">
      <c r="A104" s="657" t="s">
        <v>8</v>
      </c>
      <c r="G104" s="554"/>
      <c r="H104" s="646">
        <f t="shared" ref="H104:M104" si="35">SUM(H21+H25)</f>
        <v>0</v>
      </c>
      <c r="I104" s="622">
        <f t="shared" si="35"/>
        <v>0</v>
      </c>
      <c r="J104" s="622">
        <f t="shared" si="35"/>
        <v>0</v>
      </c>
      <c r="K104" s="622">
        <f t="shared" si="35"/>
        <v>0</v>
      </c>
      <c r="L104" s="622">
        <f t="shared" si="35"/>
        <v>0</v>
      </c>
      <c r="M104" s="660">
        <f t="shared" si="35"/>
        <v>0</v>
      </c>
      <c r="N104" s="945">
        <f>SUM(H104:M104)</f>
        <v>0</v>
      </c>
      <c r="O104" s="624">
        <f t="shared" ref="O104:O109" si="36">SUM(H104:M104)</f>
        <v>0</v>
      </c>
      <c r="Q104"/>
      <c r="R104"/>
      <c r="S104" s="998"/>
    </row>
    <row r="105" spans="1:24" ht="12.75" customHeight="1">
      <c r="A105" s="657" t="s">
        <v>9</v>
      </c>
      <c r="G105" s="554"/>
      <c r="H105" s="646">
        <f t="shared" ref="H105:M105" si="37">+H76</f>
        <v>0</v>
      </c>
      <c r="I105" s="945">
        <f t="shared" si="37"/>
        <v>0</v>
      </c>
      <c r="J105" s="945">
        <f t="shared" si="37"/>
        <v>0</v>
      </c>
      <c r="K105" s="945">
        <f t="shared" si="37"/>
        <v>0</v>
      </c>
      <c r="L105" s="945">
        <f t="shared" si="37"/>
        <v>0</v>
      </c>
      <c r="M105" s="646">
        <f t="shared" si="37"/>
        <v>0</v>
      </c>
      <c r="N105" s="945">
        <f>SUM(H105:M105)</f>
        <v>0</v>
      </c>
      <c r="O105" s="624">
        <f t="shared" si="36"/>
        <v>0</v>
      </c>
      <c r="Q105"/>
      <c r="R105"/>
      <c r="S105" s="998"/>
    </row>
    <row r="106" spans="1:24" ht="12.75" customHeight="1">
      <c r="A106" s="1005" t="s">
        <v>336</v>
      </c>
      <c r="B106" s="1006"/>
      <c r="C106" s="1006"/>
      <c r="D106" s="1006"/>
      <c r="E106" s="1006"/>
      <c r="F106" s="1006"/>
      <c r="G106" s="1006"/>
      <c r="H106" s="973"/>
      <c r="I106" s="973"/>
      <c r="J106" s="973"/>
      <c r="K106" s="973"/>
      <c r="L106" s="973"/>
      <c r="M106" s="973"/>
      <c r="N106" s="945">
        <f>SUM(H106:M106)</f>
        <v>0</v>
      </c>
      <c r="O106" s="624">
        <f t="shared" si="36"/>
        <v>0</v>
      </c>
      <c r="Q106"/>
      <c r="R106"/>
      <c r="S106" s="998"/>
    </row>
    <row r="107" spans="1:24" ht="12.75" customHeight="1">
      <c r="A107" s="657" t="s">
        <v>24</v>
      </c>
      <c r="G107" s="554"/>
      <c r="H107" s="701">
        <f t="shared" ref="H107:M107" si="38">(H82)</f>
        <v>0</v>
      </c>
      <c r="I107" s="701">
        <f t="shared" si="38"/>
        <v>0</v>
      </c>
      <c r="J107" s="701">
        <f t="shared" si="38"/>
        <v>0</v>
      </c>
      <c r="K107" s="701">
        <f t="shared" si="38"/>
        <v>0</v>
      </c>
      <c r="L107" s="701">
        <f t="shared" si="38"/>
        <v>0</v>
      </c>
      <c r="M107" s="701">
        <f t="shared" si="38"/>
        <v>0</v>
      </c>
      <c r="N107" s="945">
        <f>SUM(H107:M107)</f>
        <v>0</v>
      </c>
      <c r="O107" s="624">
        <f t="shared" si="36"/>
        <v>0</v>
      </c>
      <c r="Q107"/>
      <c r="R107"/>
      <c r="S107" s="998"/>
    </row>
    <row r="108" spans="1:24" ht="12.75" customHeight="1">
      <c r="A108" s="657"/>
      <c r="G108" s="621" t="s">
        <v>276</v>
      </c>
      <c r="H108" s="669">
        <f t="shared" ref="H108:N108" si="39">SUM(H104:H107)</f>
        <v>0</v>
      </c>
      <c r="I108" s="670">
        <f t="shared" si="39"/>
        <v>0</v>
      </c>
      <c r="J108" s="670">
        <f t="shared" si="39"/>
        <v>0</v>
      </c>
      <c r="K108" s="670">
        <f t="shared" si="39"/>
        <v>0</v>
      </c>
      <c r="L108" s="670">
        <f t="shared" si="39"/>
        <v>0</v>
      </c>
      <c r="M108" s="669">
        <f t="shared" si="39"/>
        <v>0</v>
      </c>
      <c r="N108" s="670">
        <f t="shared" si="39"/>
        <v>0</v>
      </c>
      <c r="O108" s="624">
        <f t="shared" si="36"/>
        <v>0</v>
      </c>
      <c r="Q108"/>
      <c r="R108"/>
    </row>
    <row r="109" spans="1:24" ht="12.75" customHeight="1">
      <c r="A109" s="702"/>
      <c r="B109" s="703"/>
      <c r="C109" s="703"/>
      <c r="D109" s="703"/>
      <c r="E109" s="703"/>
      <c r="F109" s="704"/>
      <c r="G109" s="705" t="s">
        <v>44</v>
      </c>
      <c r="H109" s="691">
        <f t="shared" ref="H109:N109" si="40">H101-H108</f>
        <v>0</v>
      </c>
      <c r="I109" s="692">
        <f t="shared" si="40"/>
        <v>0</v>
      </c>
      <c r="J109" s="692">
        <f t="shared" si="40"/>
        <v>0</v>
      </c>
      <c r="K109" s="692">
        <f t="shared" si="40"/>
        <v>0</v>
      </c>
      <c r="L109" s="692">
        <f t="shared" si="40"/>
        <v>0</v>
      </c>
      <c r="M109" s="691">
        <f t="shared" si="40"/>
        <v>0</v>
      </c>
      <c r="N109" s="692">
        <f t="shared" si="40"/>
        <v>0</v>
      </c>
      <c r="O109" s="624">
        <f t="shared" si="36"/>
        <v>0</v>
      </c>
      <c r="Q109"/>
      <c r="R109"/>
    </row>
    <row r="110" spans="1:24" ht="12.75" customHeight="1">
      <c r="A110" s="1438"/>
      <c r="B110" s="1439"/>
      <c r="C110" s="1439"/>
      <c r="D110" s="1439"/>
      <c r="E110" s="1439"/>
      <c r="F110" s="1440"/>
      <c r="G110" s="1007">
        <v>0.53</v>
      </c>
      <c r="H110" s="1008">
        <f>H109*$G$110</f>
        <v>0</v>
      </c>
      <c r="I110" s="1008">
        <f>I109*$G$110</f>
        <v>0</v>
      </c>
      <c r="J110" s="1008">
        <f>J109*$G$110</f>
        <v>0</v>
      </c>
      <c r="K110" s="1008">
        <f>K109*$G$110</f>
        <v>0</v>
      </c>
      <c r="L110" s="1008">
        <f>L109*$G$110</f>
        <v>0</v>
      </c>
      <c r="M110" s="1008"/>
      <c r="N110" s="1009">
        <f>SUM(H110:M110)</f>
        <v>0</v>
      </c>
      <c r="O110" s="624"/>
      <c r="Q110"/>
      <c r="R110"/>
    </row>
    <row r="111" spans="1:24" ht="12.75" customHeight="1" thickBot="1">
      <c r="A111" s="707" t="s">
        <v>310</v>
      </c>
      <c r="B111" s="708"/>
      <c r="C111" s="708"/>
      <c r="D111" s="708"/>
      <c r="E111" s="708"/>
      <c r="F111" s="708"/>
      <c r="G111" s="709"/>
      <c r="H111" s="710">
        <f>H101+H110</f>
        <v>0</v>
      </c>
      <c r="I111" s="710">
        <f t="shared" ref="I111:N111" si="41">I101+I110</f>
        <v>0</v>
      </c>
      <c r="J111" s="710">
        <f t="shared" si="41"/>
        <v>0</v>
      </c>
      <c r="K111" s="710">
        <f t="shared" si="41"/>
        <v>0</v>
      </c>
      <c r="L111" s="710">
        <f t="shared" si="41"/>
        <v>0</v>
      </c>
      <c r="M111" s="710">
        <f t="shared" si="41"/>
        <v>0</v>
      </c>
      <c r="N111" s="711">
        <f t="shared" si="41"/>
        <v>0</v>
      </c>
      <c r="O111" s="624">
        <f>SUM(H111:M111)</f>
        <v>0</v>
      </c>
      <c r="Q111"/>
      <c r="R111"/>
      <c r="S111" s="706"/>
      <c r="T111" s="706"/>
      <c r="U111" s="706"/>
      <c r="V111" s="706"/>
      <c r="W111" s="546"/>
      <c r="X111" s="546"/>
    </row>
    <row r="112" spans="1:24" ht="12.75" customHeight="1">
      <c r="A112" s="1010" t="s">
        <v>311</v>
      </c>
      <c r="B112" s="1011"/>
      <c r="C112" s="1011"/>
      <c r="D112" s="1011"/>
      <c r="E112" s="1011"/>
      <c r="F112" s="1012"/>
      <c r="G112" s="1013"/>
      <c r="H112" s="1014">
        <f>H100+H110</f>
        <v>0</v>
      </c>
      <c r="I112" s="1014">
        <f t="shared" ref="I112:N112" si="42">I100+I110</f>
        <v>0</v>
      </c>
      <c r="J112" s="1014">
        <f t="shared" si="42"/>
        <v>0</v>
      </c>
      <c r="K112" s="1014">
        <f t="shared" si="42"/>
        <v>0</v>
      </c>
      <c r="L112" s="1014">
        <f t="shared" si="42"/>
        <v>0</v>
      </c>
      <c r="M112" s="1014">
        <f t="shared" si="42"/>
        <v>0</v>
      </c>
      <c r="N112" s="1014">
        <f t="shared" si="42"/>
        <v>0</v>
      </c>
      <c r="O112" s="624">
        <f>SUM(H112:M112)</f>
        <v>0</v>
      </c>
      <c r="Q112"/>
      <c r="R112"/>
      <c r="S112" s="706"/>
      <c r="T112" s="706"/>
      <c r="U112" s="706"/>
      <c r="V112" s="706"/>
    </row>
    <row r="113" spans="1:23" ht="12.75" customHeight="1">
      <c r="A113" s="712" t="s">
        <v>102</v>
      </c>
      <c r="B113" s="713"/>
      <c r="C113" s="1015" t="s">
        <v>15</v>
      </c>
      <c r="D113" s="1015" t="s">
        <v>16</v>
      </c>
      <c r="E113" s="1015" t="s">
        <v>17</v>
      </c>
      <c r="F113" s="1015" t="s">
        <v>18</v>
      </c>
      <c r="G113" s="715" t="s">
        <v>19</v>
      </c>
      <c r="H113" s="721"/>
      <c r="I113" s="554"/>
      <c r="J113" s="554"/>
      <c r="K113" s="554"/>
      <c r="L113" s="554"/>
      <c r="M113" s="554"/>
      <c r="N113" s="554"/>
      <c r="O113" s="557"/>
      <c r="R113"/>
      <c r="S113" s="706"/>
      <c r="T113" s="706"/>
      <c r="U113" s="706"/>
      <c r="V113" s="706"/>
    </row>
    <row r="114" spans="1:23" ht="12.75" customHeight="1">
      <c r="A114" s="716"/>
      <c r="B114" s="717">
        <f>G110</f>
        <v>0.53</v>
      </c>
      <c r="C114" s="1016" t="s">
        <v>25</v>
      </c>
      <c r="D114" s="1017"/>
      <c r="E114" s="1017"/>
      <c r="F114" s="1017"/>
      <c r="G114" s="1018"/>
      <c r="H114" s="721"/>
      <c r="J114" s="554"/>
      <c r="K114" s="554"/>
      <c r="L114" s="554"/>
      <c r="M114" s="554"/>
      <c r="O114" s="557"/>
      <c r="R114"/>
      <c r="W114" s="546"/>
    </row>
    <row r="115" spans="1:23" ht="12.75" customHeight="1">
      <c r="G115" s="554"/>
      <c r="H115" s="725" t="s">
        <v>287</v>
      </c>
      <c r="I115" s="554" t="s">
        <v>307</v>
      </c>
      <c r="J115" s="554"/>
      <c r="K115" s="554"/>
      <c r="L115" s="554"/>
      <c r="M115" s="554"/>
      <c r="N115" s="554"/>
      <c r="O115" s="557"/>
      <c r="R115"/>
      <c r="W115" s="546"/>
    </row>
    <row r="116" spans="1:23" ht="12.75" customHeight="1">
      <c r="A116" s="721"/>
      <c r="E116" s="1441" t="s">
        <v>38</v>
      </c>
      <c r="F116" s="1442"/>
      <c r="G116" s="1443"/>
      <c r="H116" s="718" t="s">
        <v>36</v>
      </c>
      <c r="I116" s="718" t="s">
        <v>0</v>
      </c>
      <c r="J116" s="718" t="s">
        <v>1</v>
      </c>
      <c r="K116" s="718" t="s">
        <v>2</v>
      </c>
      <c r="L116" s="718" t="s">
        <v>166</v>
      </c>
      <c r="M116" s="718" t="s">
        <v>461</v>
      </c>
      <c r="N116" s="718" t="s">
        <v>155</v>
      </c>
      <c r="O116" s="557"/>
    </row>
    <row r="117" spans="1:23" ht="12.75" customHeight="1">
      <c r="A117" s="721" t="s">
        <v>308</v>
      </c>
      <c r="E117" s="657"/>
      <c r="G117" s="719" t="s">
        <v>776</v>
      </c>
      <c r="H117" s="720">
        <f t="shared" ref="H117:N117" si="43">SUM(H39+H40)</f>
        <v>0</v>
      </c>
      <c r="I117" s="720">
        <f t="shared" si="43"/>
        <v>0</v>
      </c>
      <c r="J117" s="720">
        <f t="shared" si="43"/>
        <v>0</v>
      </c>
      <c r="K117" s="720">
        <f t="shared" si="43"/>
        <v>0</v>
      </c>
      <c r="L117" s="720">
        <f t="shared" si="43"/>
        <v>0</v>
      </c>
      <c r="M117" s="720">
        <f t="shared" si="43"/>
        <v>0</v>
      </c>
      <c r="N117" s="720">
        <f t="shared" si="43"/>
        <v>0</v>
      </c>
      <c r="O117" s="624">
        <f>SUM(H117:M117)</f>
        <v>0</v>
      </c>
    </row>
    <row r="118" spans="1:23" ht="12.75" customHeight="1">
      <c r="B118" s="555"/>
      <c r="E118" s="657"/>
      <c r="G118" s="719" t="s">
        <v>774</v>
      </c>
      <c r="H118" s="945">
        <f t="shared" ref="H118:N118" si="44">H49</f>
        <v>0</v>
      </c>
      <c r="I118" s="945">
        <f t="shared" si="44"/>
        <v>0</v>
      </c>
      <c r="J118" s="945">
        <f t="shared" si="44"/>
        <v>0</v>
      </c>
      <c r="K118" s="945">
        <f t="shared" si="44"/>
        <v>0</v>
      </c>
      <c r="L118" s="945">
        <f t="shared" si="44"/>
        <v>0</v>
      </c>
      <c r="M118" s="945">
        <f t="shared" si="44"/>
        <v>0</v>
      </c>
      <c r="N118" s="945">
        <f t="shared" si="44"/>
        <v>0</v>
      </c>
      <c r="O118" s="624">
        <f t="shared" ref="O118:O128" si="45">SUM(H118:M118)</f>
        <v>0</v>
      </c>
    </row>
    <row r="119" spans="1:23" ht="12.75" customHeight="1">
      <c r="A119" s="721"/>
      <c r="B119" s="555"/>
      <c r="E119" s="657"/>
      <c r="G119" s="719" t="s">
        <v>39</v>
      </c>
      <c r="H119" s="945">
        <f t="shared" ref="H119:N119" si="46">H60</f>
        <v>0</v>
      </c>
      <c r="I119" s="945">
        <f t="shared" si="46"/>
        <v>0</v>
      </c>
      <c r="J119" s="945">
        <f t="shared" si="46"/>
        <v>0</v>
      </c>
      <c r="K119" s="945">
        <f t="shared" si="46"/>
        <v>0</v>
      </c>
      <c r="L119" s="945">
        <f t="shared" si="46"/>
        <v>0</v>
      </c>
      <c r="M119" s="945">
        <f t="shared" si="46"/>
        <v>0</v>
      </c>
      <c r="N119" s="945">
        <f t="shared" si="46"/>
        <v>0</v>
      </c>
      <c r="O119" s="624">
        <f t="shared" si="45"/>
        <v>0</v>
      </c>
    </row>
    <row r="120" spans="1:23" ht="12.75" customHeight="1">
      <c r="B120" s="555"/>
      <c r="E120" s="657"/>
      <c r="G120" s="719" t="s">
        <v>40</v>
      </c>
      <c r="H120" s="945">
        <f t="shared" ref="H120:N120" si="47">H66</f>
        <v>0</v>
      </c>
      <c r="I120" s="945">
        <f t="shared" si="47"/>
        <v>0</v>
      </c>
      <c r="J120" s="945">
        <f t="shared" si="47"/>
        <v>0</v>
      </c>
      <c r="K120" s="945">
        <f t="shared" si="47"/>
        <v>0</v>
      </c>
      <c r="L120" s="945">
        <f t="shared" si="47"/>
        <v>0</v>
      </c>
      <c r="M120" s="945">
        <f t="shared" si="47"/>
        <v>0</v>
      </c>
      <c r="N120" s="945">
        <f t="shared" si="47"/>
        <v>0</v>
      </c>
      <c r="O120" s="624">
        <f t="shared" si="45"/>
        <v>0</v>
      </c>
    </row>
    <row r="121" spans="1:23" ht="12.75" customHeight="1">
      <c r="A121" s="555"/>
      <c r="B121" s="555"/>
      <c r="E121" s="657"/>
      <c r="G121" s="719" t="s">
        <v>41</v>
      </c>
      <c r="H121" s="945">
        <f t="shared" ref="H121:N121" si="48">H76</f>
        <v>0</v>
      </c>
      <c r="I121" s="945">
        <f t="shared" si="48"/>
        <v>0</v>
      </c>
      <c r="J121" s="945">
        <f t="shared" si="48"/>
        <v>0</v>
      </c>
      <c r="K121" s="945">
        <f t="shared" si="48"/>
        <v>0</v>
      </c>
      <c r="L121" s="945">
        <f t="shared" si="48"/>
        <v>0</v>
      </c>
      <c r="M121" s="945">
        <f t="shared" si="48"/>
        <v>0</v>
      </c>
      <c r="N121" s="945">
        <f t="shared" si="48"/>
        <v>0</v>
      </c>
      <c r="O121" s="624">
        <f t="shared" si="45"/>
        <v>0</v>
      </c>
    </row>
    <row r="122" spans="1:23" ht="12.75" customHeight="1">
      <c r="E122" s="657"/>
      <c r="G122" s="719" t="s">
        <v>42</v>
      </c>
      <c r="H122" s="945">
        <f t="shared" ref="H122:N122" si="49">H44</f>
        <v>0</v>
      </c>
      <c r="I122" s="945">
        <f t="shared" si="49"/>
        <v>0</v>
      </c>
      <c r="J122" s="945">
        <f t="shared" si="49"/>
        <v>0</v>
      </c>
      <c r="K122" s="945">
        <f t="shared" si="49"/>
        <v>0</v>
      </c>
      <c r="L122" s="945">
        <f t="shared" si="49"/>
        <v>0</v>
      </c>
      <c r="M122" s="945">
        <f t="shared" si="49"/>
        <v>0</v>
      </c>
      <c r="N122" s="945">
        <f t="shared" si="49"/>
        <v>0</v>
      </c>
      <c r="O122" s="624">
        <f t="shared" si="45"/>
        <v>0</v>
      </c>
    </row>
    <row r="123" spans="1:23" ht="12.75" customHeight="1">
      <c r="E123" s="657"/>
      <c r="G123" s="719" t="s">
        <v>732</v>
      </c>
      <c r="H123" s="945">
        <f t="shared" ref="H123:N123" si="50">H43</f>
        <v>0</v>
      </c>
      <c r="I123" s="945">
        <f t="shared" si="50"/>
        <v>0</v>
      </c>
      <c r="J123" s="945">
        <f t="shared" si="50"/>
        <v>0</v>
      </c>
      <c r="K123" s="945">
        <f t="shared" si="50"/>
        <v>0</v>
      </c>
      <c r="L123" s="945">
        <f t="shared" si="50"/>
        <v>0</v>
      </c>
      <c r="M123" s="945">
        <f t="shared" si="50"/>
        <v>0</v>
      </c>
      <c r="N123" s="945">
        <f t="shared" si="50"/>
        <v>0</v>
      </c>
      <c r="O123" s="624">
        <f>SUM(H123:M123)</f>
        <v>0</v>
      </c>
    </row>
    <row r="124" spans="1:23" ht="12.75" customHeight="1">
      <c r="E124" s="657"/>
      <c r="G124" s="719" t="s">
        <v>777</v>
      </c>
      <c r="H124" s="945">
        <f t="shared" ref="H124:N124" si="51">H82</f>
        <v>0</v>
      </c>
      <c r="I124" s="945">
        <f t="shared" si="51"/>
        <v>0</v>
      </c>
      <c r="J124" s="945">
        <f t="shared" si="51"/>
        <v>0</v>
      </c>
      <c r="K124" s="945">
        <f t="shared" si="51"/>
        <v>0</v>
      </c>
      <c r="L124" s="945">
        <f t="shared" si="51"/>
        <v>0</v>
      </c>
      <c r="M124" s="945">
        <f t="shared" si="51"/>
        <v>0</v>
      </c>
      <c r="N124" s="945">
        <f t="shared" si="51"/>
        <v>0</v>
      </c>
      <c r="O124" s="624">
        <f t="shared" si="45"/>
        <v>0</v>
      </c>
    </row>
    <row r="125" spans="1:23" ht="12.75" customHeight="1">
      <c r="E125" s="657"/>
      <c r="G125" s="719" t="s">
        <v>779</v>
      </c>
      <c r="H125" s="945">
        <f t="shared" ref="H125:N125" si="52">H92</f>
        <v>0</v>
      </c>
      <c r="I125" s="945">
        <f t="shared" si="52"/>
        <v>0</v>
      </c>
      <c r="J125" s="945">
        <f t="shared" si="52"/>
        <v>0</v>
      </c>
      <c r="K125" s="945">
        <f t="shared" si="52"/>
        <v>0</v>
      </c>
      <c r="L125" s="945">
        <f t="shared" si="52"/>
        <v>0</v>
      </c>
      <c r="M125" s="945">
        <f t="shared" si="52"/>
        <v>0</v>
      </c>
      <c r="N125" s="945">
        <f t="shared" si="52"/>
        <v>0</v>
      </c>
      <c r="O125" s="624">
        <f t="shared" si="45"/>
        <v>0</v>
      </c>
    </row>
    <row r="126" spans="1:23" ht="12.75" customHeight="1">
      <c r="A126" s="554" t="s">
        <v>143</v>
      </c>
      <c r="E126" s="657"/>
      <c r="G126" s="722" t="s">
        <v>21</v>
      </c>
      <c r="H126" s="720">
        <f t="shared" ref="H126:N126" si="53">SUM(H117:H125)</f>
        <v>0</v>
      </c>
      <c r="I126" s="720">
        <f t="shared" si="53"/>
        <v>0</v>
      </c>
      <c r="J126" s="720">
        <f t="shared" si="53"/>
        <v>0</v>
      </c>
      <c r="K126" s="720">
        <f t="shared" si="53"/>
        <v>0</v>
      </c>
      <c r="L126" s="720">
        <f t="shared" si="53"/>
        <v>0</v>
      </c>
      <c r="M126" s="720">
        <f t="shared" si="53"/>
        <v>0</v>
      </c>
      <c r="N126" s="692">
        <f t="shared" si="53"/>
        <v>0</v>
      </c>
      <c r="O126" s="624">
        <f t="shared" si="45"/>
        <v>0</v>
      </c>
    </row>
    <row r="127" spans="1:23" ht="12.75" customHeight="1">
      <c r="E127" s="657"/>
      <c r="G127" s="719" t="s">
        <v>43</v>
      </c>
      <c r="H127" s="692">
        <f t="shared" ref="H127:N127" si="54">H110</f>
        <v>0</v>
      </c>
      <c r="I127" s="692">
        <f t="shared" si="54"/>
        <v>0</v>
      </c>
      <c r="J127" s="692">
        <f t="shared" si="54"/>
        <v>0</v>
      </c>
      <c r="K127" s="692">
        <f t="shared" si="54"/>
        <v>0</v>
      </c>
      <c r="L127" s="692">
        <f t="shared" si="54"/>
        <v>0</v>
      </c>
      <c r="M127" s="692">
        <f t="shared" si="54"/>
        <v>0</v>
      </c>
      <c r="N127" s="692">
        <f t="shared" si="54"/>
        <v>0</v>
      </c>
      <c r="O127" s="624">
        <f t="shared" si="45"/>
        <v>0</v>
      </c>
    </row>
    <row r="128" spans="1:23" ht="12.75" customHeight="1">
      <c r="E128" s="661"/>
      <c r="F128" s="663"/>
      <c r="G128" s="723" t="s">
        <v>20</v>
      </c>
      <c r="H128" s="666">
        <f t="shared" ref="H128:N128" si="55">H126+H127</f>
        <v>0</v>
      </c>
      <c r="I128" s="666">
        <f t="shared" si="55"/>
        <v>0</v>
      </c>
      <c r="J128" s="666">
        <f t="shared" si="55"/>
        <v>0</v>
      </c>
      <c r="K128" s="666">
        <f t="shared" si="55"/>
        <v>0</v>
      </c>
      <c r="L128" s="666">
        <f t="shared" si="55"/>
        <v>0</v>
      </c>
      <c r="M128" s="666">
        <f t="shared" si="55"/>
        <v>0</v>
      </c>
      <c r="N128" s="666">
        <f t="shared" si="55"/>
        <v>0</v>
      </c>
      <c r="O128" s="624">
        <f t="shared" si="45"/>
        <v>0</v>
      </c>
    </row>
    <row r="130" spans="1:14" ht="12.75" customHeight="1">
      <c r="A130" s="724" t="s">
        <v>177</v>
      </c>
      <c r="G130" s="554"/>
      <c r="H130" s="554"/>
      <c r="I130" s="554"/>
    </row>
    <row r="131" spans="1:14" ht="12.75" customHeight="1">
      <c r="A131" s="724" t="s">
        <v>139</v>
      </c>
      <c r="G131" s="554"/>
      <c r="H131" s="554"/>
      <c r="I131" s="554"/>
    </row>
    <row r="132" spans="1:14" ht="12.75" customHeight="1">
      <c r="A132" s="725" t="s">
        <v>176</v>
      </c>
      <c r="G132" s="554"/>
      <c r="H132" s="554"/>
      <c r="I132" s="554"/>
    </row>
    <row r="133" spans="1:14" ht="12.75" customHeight="1">
      <c r="A133" s="725" t="s">
        <v>178</v>
      </c>
      <c r="G133" s="554"/>
      <c r="H133" s="554"/>
      <c r="I133" s="554"/>
    </row>
    <row r="134" spans="1:14" ht="12.75" customHeight="1">
      <c r="A134" s="554" t="s">
        <v>168</v>
      </c>
      <c r="B134" s="726"/>
      <c r="E134" s="726">
        <f>Instructions!A20</f>
        <v>0.10070111867852601</v>
      </c>
    </row>
    <row r="135" spans="1:14" ht="12.75" customHeight="1">
      <c r="A135" s="554" t="s">
        <v>172</v>
      </c>
      <c r="E135" s="726">
        <f>Instructions!A21</f>
        <v>0.194601118678526</v>
      </c>
    </row>
    <row r="136" spans="1:14" ht="12.75" customHeight="1">
      <c r="A136" s="554" t="s">
        <v>169</v>
      </c>
      <c r="E136" s="726">
        <f>Instructions!A22</f>
        <v>0.64925486709021596</v>
      </c>
      <c r="H136" s="727"/>
    </row>
    <row r="137" spans="1:14" ht="12.75" customHeight="1">
      <c r="A137" s="554" t="s">
        <v>179</v>
      </c>
    </row>
    <row r="139" spans="1:14" ht="12.75" customHeight="1">
      <c r="A139" s="1426" t="s">
        <v>277</v>
      </c>
      <c r="B139" s="1427"/>
      <c r="C139" s="1427"/>
      <c r="D139" s="1427"/>
      <c r="E139" s="1427"/>
      <c r="F139" s="1427"/>
      <c r="G139" s="1427"/>
      <c r="H139" s="1427"/>
      <c r="I139" s="1427"/>
      <c r="J139" s="1427"/>
      <c r="K139" s="1427"/>
      <c r="L139" s="1427"/>
      <c r="M139" s="1427"/>
      <c r="N139" s="1428"/>
    </row>
    <row r="140" spans="1:14" ht="12.75" customHeight="1" thickBot="1">
      <c r="A140" s="1019" t="s">
        <v>278</v>
      </c>
      <c r="B140" s="1020"/>
      <c r="C140" s="1021" t="str">
        <f>IF(H3&gt;1,H3,"")</f>
        <v/>
      </c>
      <c r="D140" s="1021"/>
      <c r="E140" s="1022"/>
      <c r="F140" s="1021" t="str">
        <f>IF(H4&gt;1,H4,"")</f>
        <v/>
      </c>
      <c r="G140" s="1021"/>
      <c r="H140" s="1022"/>
      <c r="I140" s="1022"/>
      <c r="J140" s="1020"/>
      <c r="K140" s="1020"/>
      <c r="L140" s="1020"/>
      <c r="M140" s="1020"/>
      <c r="N140" s="1023"/>
    </row>
    <row r="141" spans="1:14" ht="12.75" customHeight="1">
      <c r="A141" s="657" t="s">
        <v>279</v>
      </c>
      <c r="B141" s="728"/>
      <c r="C141" s="729"/>
      <c r="D141" s="729"/>
      <c r="E141" s="730"/>
      <c r="F141" s="729"/>
      <c r="G141" s="729"/>
      <c r="H141" s="731" t="s">
        <v>280</v>
      </c>
      <c r="I141" s="730"/>
      <c r="J141" s="728"/>
      <c r="K141" s="728"/>
      <c r="L141" s="728"/>
      <c r="M141" s="732"/>
      <c r="N141" s="733" t="s">
        <v>155</v>
      </c>
    </row>
    <row r="142" spans="1:14" ht="12.75" customHeight="1">
      <c r="A142" s="657" t="s">
        <v>281</v>
      </c>
      <c r="C142" s="729"/>
      <c r="D142" s="729"/>
      <c r="E142" s="729"/>
      <c r="F142" s="729"/>
      <c r="G142" s="729"/>
      <c r="H142" s="624">
        <f>H99</f>
        <v>0</v>
      </c>
      <c r="I142" s="729"/>
      <c r="J142" s="554"/>
      <c r="K142" s="554"/>
      <c r="L142" s="554"/>
      <c r="M142" s="554"/>
      <c r="N142" s="720">
        <f>H142</f>
        <v>0</v>
      </c>
    </row>
    <row r="143" spans="1:14" ht="12.75" customHeight="1">
      <c r="A143" s="657" t="s">
        <v>282</v>
      </c>
      <c r="C143" s="729"/>
      <c r="D143" s="729"/>
      <c r="E143" s="729"/>
      <c r="F143" s="729"/>
      <c r="G143" s="729"/>
      <c r="H143" s="624">
        <f>H91</f>
        <v>0</v>
      </c>
      <c r="I143" s="729"/>
      <c r="J143" s="554"/>
      <c r="K143" s="554"/>
      <c r="L143" s="554"/>
      <c r="M143" s="554"/>
      <c r="N143" s="945">
        <f>H143</f>
        <v>0</v>
      </c>
    </row>
    <row r="144" spans="1:14" ht="12.75" customHeight="1">
      <c r="A144" s="657" t="s">
        <v>283</v>
      </c>
      <c r="B144" s="557"/>
      <c r="C144" s="729" t="s">
        <v>284</v>
      </c>
      <c r="D144" s="729"/>
      <c r="E144" s="624"/>
      <c r="F144" s="729"/>
      <c r="G144" s="729"/>
      <c r="H144" s="624">
        <f>H100</f>
        <v>0</v>
      </c>
      <c r="I144" s="624"/>
      <c r="N144" s="945">
        <f>H144</f>
        <v>0</v>
      </c>
    </row>
    <row r="145" spans="1:22" ht="12.75" customHeight="1">
      <c r="A145" s="657" t="s">
        <v>285</v>
      </c>
      <c r="C145" s="729"/>
      <c r="D145" s="729"/>
      <c r="E145" s="729"/>
      <c r="F145" s="729"/>
      <c r="G145" s="729"/>
      <c r="H145" s="729"/>
      <c r="I145" s="729"/>
      <c r="J145" s="556"/>
      <c r="N145" s="945"/>
    </row>
    <row r="146" spans="1:22" ht="12.75" customHeight="1">
      <c r="A146" s="657" t="s">
        <v>286</v>
      </c>
      <c r="C146" s="734">
        <f>G110</f>
        <v>0.53</v>
      </c>
      <c r="D146" s="734"/>
      <c r="E146" s="729"/>
      <c r="F146" s="624">
        <f>H109</f>
        <v>0</v>
      </c>
      <c r="G146" s="624"/>
      <c r="H146" s="624">
        <f>H110</f>
        <v>0</v>
      </c>
      <c r="I146" s="729"/>
      <c r="J146" s="556"/>
      <c r="N146" s="945">
        <f>H146</f>
        <v>0</v>
      </c>
      <c r="R146" s="1024"/>
      <c r="S146" s="545"/>
      <c r="T146" s="545"/>
      <c r="U146" s="545"/>
      <c r="V146" s="545"/>
    </row>
    <row r="147" spans="1:22" ht="12.75" customHeight="1">
      <c r="A147" s="657" t="s">
        <v>287</v>
      </c>
      <c r="C147" s="729" t="s">
        <v>307</v>
      </c>
      <c r="D147" s="729"/>
      <c r="E147" s="729"/>
      <c r="F147" s="729"/>
      <c r="G147" s="729"/>
      <c r="H147" s="729"/>
      <c r="I147" s="729"/>
      <c r="J147" s="556"/>
      <c r="N147" s="945"/>
      <c r="R147" s="1024"/>
      <c r="S147" s="545"/>
      <c r="T147" s="545"/>
      <c r="U147" s="545"/>
      <c r="V147" s="545"/>
    </row>
    <row r="148" spans="1:22" ht="12.75" customHeight="1">
      <c r="A148" s="657" t="s">
        <v>288</v>
      </c>
      <c r="C148" s="558">
        <v>40885</v>
      </c>
      <c r="D148" s="558"/>
      <c r="E148" s="729"/>
      <c r="F148" s="729"/>
      <c r="G148" s="729"/>
      <c r="H148" s="729"/>
      <c r="I148" s="729"/>
      <c r="J148" s="556"/>
      <c r="N148" s="945"/>
    </row>
    <row r="149" spans="1:22" ht="12.75" customHeight="1">
      <c r="A149" s="657" t="s">
        <v>289</v>
      </c>
      <c r="B149" s="557"/>
      <c r="C149" s="729" t="s">
        <v>284</v>
      </c>
      <c r="D149" s="729"/>
      <c r="E149" s="624"/>
      <c r="F149" s="729"/>
      <c r="G149" s="729"/>
      <c r="H149" s="624">
        <f>H127</f>
        <v>0</v>
      </c>
      <c r="I149" s="624"/>
      <c r="N149" s="945">
        <f>H149</f>
        <v>0</v>
      </c>
    </row>
    <row r="150" spans="1:22" ht="12.75" customHeight="1">
      <c r="A150" s="657" t="s">
        <v>290</v>
      </c>
      <c r="C150" s="729"/>
      <c r="D150" s="729"/>
      <c r="E150" s="729"/>
      <c r="F150" s="729"/>
      <c r="G150" s="729"/>
      <c r="H150" s="729"/>
      <c r="I150" s="729"/>
      <c r="J150" s="556"/>
      <c r="N150" s="945"/>
    </row>
    <row r="151" spans="1:22" ht="12.75" customHeight="1">
      <c r="A151" s="661" t="s">
        <v>291</v>
      </c>
      <c r="B151" s="735"/>
      <c r="C151" s="736" t="s">
        <v>284</v>
      </c>
      <c r="D151" s="736"/>
      <c r="E151" s="667"/>
      <c r="F151" s="736"/>
      <c r="G151" s="736"/>
      <c r="H151" s="667">
        <f>H112</f>
        <v>0</v>
      </c>
      <c r="I151" s="667"/>
      <c r="J151" s="735"/>
      <c r="K151" s="735"/>
      <c r="L151" s="735"/>
      <c r="M151" s="735"/>
      <c r="N151" s="666">
        <f>H151</f>
        <v>0</v>
      </c>
    </row>
    <row r="152" spans="1:22" ht="12.75" customHeight="1" thickBot="1">
      <c r="A152" s="1019" t="s">
        <v>292</v>
      </c>
      <c r="B152" s="1025"/>
      <c r="C152" s="1021" t="str">
        <f>IF(I3&gt;1,I3,"")</f>
        <v/>
      </c>
      <c r="D152" s="1021"/>
      <c r="E152" s="1026"/>
      <c r="F152" s="1021" t="str">
        <f>IF(I4&gt;1,I4,"")</f>
        <v/>
      </c>
      <c r="G152" s="1021"/>
      <c r="H152" s="1026"/>
      <c r="I152" s="1026"/>
      <c r="J152" s="1027"/>
      <c r="K152" s="1028"/>
      <c r="L152" s="1028"/>
      <c r="M152" s="1028"/>
      <c r="N152" s="674"/>
    </row>
    <row r="153" spans="1:22" ht="12.75" customHeight="1">
      <c r="A153" s="657" t="s">
        <v>279</v>
      </c>
      <c r="B153" s="728"/>
      <c r="C153" s="737"/>
      <c r="D153" s="737"/>
      <c r="E153" s="730"/>
      <c r="F153" s="729"/>
      <c r="G153" s="729"/>
      <c r="H153" s="729"/>
      <c r="I153" s="731" t="s">
        <v>293</v>
      </c>
      <c r="J153" s="556"/>
      <c r="N153" s="738" t="s">
        <v>155</v>
      </c>
    </row>
    <row r="154" spans="1:22" ht="12.75" customHeight="1">
      <c r="A154" s="657" t="s">
        <v>281</v>
      </c>
      <c r="B154" s="557"/>
      <c r="C154" s="729"/>
      <c r="D154" s="729"/>
      <c r="E154" s="624"/>
      <c r="F154" s="729"/>
      <c r="G154" s="729"/>
      <c r="H154" s="624"/>
      <c r="I154" s="624">
        <f>I99</f>
        <v>0</v>
      </c>
      <c r="N154" s="945">
        <f>I154</f>
        <v>0</v>
      </c>
    </row>
    <row r="155" spans="1:22" ht="12.75" customHeight="1">
      <c r="A155" s="657" t="s">
        <v>282</v>
      </c>
      <c r="B155" s="557"/>
      <c r="E155" s="557"/>
      <c r="G155" s="554"/>
      <c r="I155" s="624">
        <f>I91</f>
        <v>0</v>
      </c>
      <c r="N155" s="945">
        <f>I155</f>
        <v>0</v>
      </c>
    </row>
    <row r="156" spans="1:22" ht="12.75" customHeight="1">
      <c r="A156" s="657" t="s">
        <v>283</v>
      </c>
      <c r="B156" s="557"/>
      <c r="C156" s="554" t="s">
        <v>284</v>
      </c>
      <c r="E156" s="557"/>
      <c r="G156" s="554"/>
      <c r="I156" s="624">
        <f>SUM(I154:I155)</f>
        <v>0</v>
      </c>
      <c r="N156" s="945">
        <f>I156</f>
        <v>0</v>
      </c>
    </row>
    <row r="157" spans="1:22" ht="12.75" customHeight="1">
      <c r="A157" s="657" t="s">
        <v>285</v>
      </c>
      <c r="G157" s="554"/>
      <c r="H157" s="554"/>
      <c r="I157" s="729"/>
      <c r="J157" s="556"/>
      <c r="N157" s="945"/>
    </row>
    <row r="158" spans="1:22" ht="12.75" customHeight="1">
      <c r="A158" s="657" t="s">
        <v>286</v>
      </c>
      <c r="C158" s="734">
        <f>$A$114</f>
        <v>0</v>
      </c>
      <c r="D158" s="739"/>
      <c r="F158" s="624">
        <f>I109</f>
        <v>0</v>
      </c>
      <c r="G158" s="557"/>
      <c r="I158" s="624">
        <f>I110</f>
        <v>0</v>
      </c>
      <c r="J158" s="556"/>
      <c r="N158" s="945">
        <f>I158</f>
        <v>0</v>
      </c>
    </row>
    <row r="159" spans="1:22" ht="12.75" customHeight="1">
      <c r="A159" s="657" t="s">
        <v>287</v>
      </c>
      <c r="C159" s="729" t="str">
        <f>C147</f>
        <v>DHHS - Helen Fung, 415-437-7820</v>
      </c>
      <c r="F159" s="729"/>
      <c r="G159" s="554"/>
      <c r="H159" s="554"/>
      <c r="I159" s="729"/>
      <c r="J159" s="556"/>
      <c r="N159" s="945"/>
    </row>
    <row r="160" spans="1:22" ht="12.75" customHeight="1">
      <c r="A160" s="657" t="s">
        <v>288</v>
      </c>
      <c r="C160" s="558">
        <f>C148</f>
        <v>40885</v>
      </c>
      <c r="D160" s="740"/>
      <c r="F160" s="729"/>
      <c r="G160" s="554"/>
      <c r="H160" s="554"/>
      <c r="I160" s="729"/>
      <c r="J160" s="556"/>
      <c r="N160" s="945"/>
    </row>
    <row r="161" spans="1:14" ht="12.75" customHeight="1">
      <c r="A161" s="657" t="s">
        <v>289</v>
      </c>
      <c r="B161" s="557"/>
      <c r="C161" s="729" t="s">
        <v>284</v>
      </c>
      <c r="E161" s="557"/>
      <c r="F161" s="729"/>
      <c r="G161" s="554"/>
      <c r="H161" s="554"/>
      <c r="I161" s="624">
        <f>I127</f>
        <v>0</v>
      </c>
      <c r="N161" s="945">
        <f>I161</f>
        <v>0</v>
      </c>
    </row>
    <row r="162" spans="1:14" ht="12.75" customHeight="1">
      <c r="A162" s="657" t="s">
        <v>290</v>
      </c>
      <c r="C162" s="729"/>
      <c r="F162" s="729"/>
      <c r="G162" s="554"/>
      <c r="H162" s="554"/>
      <c r="I162" s="729"/>
      <c r="J162" s="556"/>
      <c r="N162" s="673"/>
    </row>
    <row r="163" spans="1:14" ht="12.75" customHeight="1">
      <c r="A163" s="657" t="s">
        <v>291</v>
      </c>
      <c r="B163" s="557"/>
      <c r="C163" s="729" t="s">
        <v>284</v>
      </c>
      <c r="E163" s="557"/>
      <c r="F163" s="729"/>
      <c r="G163" s="554"/>
      <c r="H163" s="554"/>
      <c r="I163" s="624">
        <f>I112</f>
        <v>0</v>
      </c>
      <c r="N163" s="945">
        <f>I163</f>
        <v>0</v>
      </c>
    </row>
    <row r="164" spans="1:14" ht="12.75" customHeight="1" thickBot="1">
      <c r="A164" s="1019" t="s">
        <v>294</v>
      </c>
      <c r="B164" s="1025"/>
      <c r="C164" s="1021" t="str">
        <f>IF(J3&gt;1,J3,"")</f>
        <v/>
      </c>
      <c r="D164" s="1029"/>
      <c r="E164" s="1025"/>
      <c r="F164" s="1021" t="str">
        <f>IF(J4&gt;1,J4,"")</f>
        <v/>
      </c>
      <c r="G164" s="1029"/>
      <c r="H164" s="1025"/>
      <c r="I164" s="1025"/>
      <c r="J164" s="1025"/>
      <c r="K164" s="1028"/>
      <c r="L164" s="1028"/>
      <c r="M164" s="1028"/>
      <c r="N164" s="1030"/>
    </row>
    <row r="165" spans="1:14" ht="12.75" customHeight="1">
      <c r="A165" s="657" t="s">
        <v>279</v>
      </c>
      <c r="C165" s="729"/>
      <c r="F165" s="729"/>
      <c r="G165" s="554"/>
      <c r="H165" s="554"/>
      <c r="I165" s="554"/>
      <c r="J165" s="741" t="s">
        <v>295</v>
      </c>
      <c r="N165" s="742" t="s">
        <v>155</v>
      </c>
    </row>
    <row r="166" spans="1:14" ht="12.75" customHeight="1">
      <c r="A166" s="657" t="s">
        <v>281</v>
      </c>
      <c r="B166" s="557"/>
      <c r="C166" s="729"/>
      <c r="E166" s="557"/>
      <c r="F166" s="729"/>
      <c r="G166" s="554"/>
      <c r="J166" s="624">
        <f>J99</f>
        <v>0</v>
      </c>
      <c r="N166" s="945">
        <f>J166</f>
        <v>0</v>
      </c>
    </row>
    <row r="167" spans="1:14" ht="12.75" customHeight="1">
      <c r="A167" s="657" t="s">
        <v>282</v>
      </c>
      <c r="B167" s="557"/>
      <c r="C167" s="729"/>
      <c r="E167" s="557"/>
      <c r="F167" s="729"/>
      <c r="G167" s="554"/>
      <c r="J167" s="624">
        <f>J91</f>
        <v>0</v>
      </c>
      <c r="N167" s="945">
        <f>J167</f>
        <v>0</v>
      </c>
    </row>
    <row r="168" spans="1:14" ht="12.75" customHeight="1">
      <c r="A168" s="657" t="s">
        <v>283</v>
      </c>
      <c r="B168" s="557"/>
      <c r="C168" s="729" t="s">
        <v>284</v>
      </c>
      <c r="E168" s="557"/>
      <c r="F168" s="729"/>
      <c r="G168" s="554"/>
      <c r="J168" s="624">
        <f>SUM(J166:J167)</f>
        <v>0</v>
      </c>
      <c r="N168" s="945">
        <f>J168</f>
        <v>0</v>
      </c>
    </row>
    <row r="169" spans="1:14" ht="12.75" customHeight="1">
      <c r="A169" s="657" t="s">
        <v>285</v>
      </c>
      <c r="C169" s="729"/>
      <c r="F169" s="729"/>
      <c r="G169" s="554"/>
      <c r="H169" s="554"/>
      <c r="I169" s="554"/>
      <c r="J169" s="743"/>
      <c r="N169" s="945"/>
    </row>
    <row r="170" spans="1:14" ht="12.75" customHeight="1">
      <c r="A170" s="657" t="s">
        <v>286</v>
      </c>
      <c r="C170" s="734">
        <f>$A$114</f>
        <v>0</v>
      </c>
      <c r="D170" s="739"/>
      <c r="F170" s="624">
        <f>J109</f>
        <v>0</v>
      </c>
      <c r="G170" s="557"/>
      <c r="I170" s="554"/>
      <c r="J170" s="624">
        <f>J127</f>
        <v>0</v>
      </c>
      <c r="N170" s="945">
        <f>J170</f>
        <v>0</v>
      </c>
    </row>
    <row r="171" spans="1:14" ht="12.75" customHeight="1">
      <c r="A171" s="657" t="s">
        <v>287</v>
      </c>
      <c r="C171" s="729" t="str">
        <f>C147</f>
        <v>DHHS - Helen Fung, 415-437-7820</v>
      </c>
      <c r="F171" s="729"/>
      <c r="G171" s="554"/>
      <c r="H171" s="554"/>
      <c r="I171" s="554"/>
      <c r="J171" s="729"/>
      <c r="N171" s="945"/>
    </row>
    <row r="172" spans="1:14" ht="12.75" customHeight="1">
      <c r="A172" s="657" t="s">
        <v>288</v>
      </c>
      <c r="C172" s="558">
        <f>C148</f>
        <v>40885</v>
      </c>
      <c r="D172" s="740"/>
      <c r="F172" s="729"/>
      <c r="G172" s="554"/>
      <c r="H172" s="554"/>
      <c r="I172" s="554"/>
      <c r="J172" s="729"/>
      <c r="N172" s="945"/>
    </row>
    <row r="173" spans="1:14" ht="12.75" customHeight="1">
      <c r="A173" s="657" t="s">
        <v>289</v>
      </c>
      <c r="B173" s="557"/>
      <c r="C173" s="729" t="s">
        <v>284</v>
      </c>
      <c r="E173" s="557"/>
      <c r="F173" s="729"/>
      <c r="G173" s="554"/>
      <c r="H173" s="554"/>
      <c r="J173" s="624">
        <f>J127</f>
        <v>0</v>
      </c>
      <c r="N173" s="945">
        <f>J173</f>
        <v>0</v>
      </c>
    </row>
    <row r="174" spans="1:14" ht="12.75" customHeight="1">
      <c r="A174" s="657" t="s">
        <v>290</v>
      </c>
      <c r="C174" s="729"/>
      <c r="F174" s="729"/>
      <c r="G174" s="554"/>
      <c r="H174" s="554"/>
      <c r="I174" s="554"/>
      <c r="J174" s="729"/>
      <c r="N174" s="945"/>
    </row>
    <row r="175" spans="1:14" ht="12.75" customHeight="1">
      <c r="A175" s="661" t="s">
        <v>291</v>
      </c>
      <c r="B175" s="735"/>
      <c r="C175" s="736" t="s">
        <v>284</v>
      </c>
      <c r="D175" s="663"/>
      <c r="E175" s="735"/>
      <c r="F175" s="736"/>
      <c r="G175" s="663"/>
      <c r="H175" s="663"/>
      <c r="I175" s="735"/>
      <c r="J175" s="667">
        <f>J112</f>
        <v>0</v>
      </c>
      <c r="K175" s="735"/>
      <c r="L175" s="735"/>
      <c r="M175" s="735"/>
      <c r="N175" s="666">
        <f>J175</f>
        <v>0</v>
      </c>
    </row>
    <row r="176" spans="1:14" ht="12.75" customHeight="1" thickBot="1">
      <c r="A176" s="1019" t="s">
        <v>296</v>
      </c>
      <c r="B176" s="1025"/>
      <c r="C176" s="1021" t="str">
        <f>IF(K3&gt;1,K3,"")</f>
        <v/>
      </c>
      <c r="D176" s="1029"/>
      <c r="E176" s="1025"/>
      <c r="F176" s="1021" t="str">
        <f>IF(K4&gt;1,K4,"")</f>
        <v/>
      </c>
      <c r="G176" s="1029"/>
      <c r="H176" s="1029"/>
      <c r="I176" s="1025"/>
      <c r="J176" s="1025"/>
      <c r="K176" s="1028"/>
      <c r="L176" s="1028"/>
      <c r="M176" s="1028"/>
      <c r="N176" s="1030"/>
    </row>
    <row r="177" spans="1:14" ht="12.75" customHeight="1">
      <c r="A177" s="657" t="s">
        <v>279</v>
      </c>
      <c r="C177" s="729"/>
      <c r="F177" s="729"/>
      <c r="G177" s="554"/>
      <c r="H177" s="554"/>
      <c r="I177" s="554"/>
      <c r="J177" s="554"/>
      <c r="K177" s="741" t="s">
        <v>297</v>
      </c>
      <c r="N177" s="742" t="s">
        <v>155</v>
      </c>
    </row>
    <row r="178" spans="1:14" ht="12.75" customHeight="1">
      <c r="A178" s="657" t="s">
        <v>281</v>
      </c>
      <c r="B178" s="557"/>
      <c r="E178" s="557"/>
      <c r="F178" s="729"/>
      <c r="G178" s="554"/>
      <c r="K178" s="624">
        <f>K99</f>
        <v>0</v>
      </c>
      <c r="L178" s="624"/>
      <c r="M178" s="624"/>
      <c r="N178" s="945">
        <f>K178</f>
        <v>0</v>
      </c>
    </row>
    <row r="179" spans="1:14" ht="12.75" customHeight="1">
      <c r="A179" s="657" t="s">
        <v>282</v>
      </c>
      <c r="B179" s="557"/>
      <c r="E179" s="557"/>
      <c r="F179" s="729"/>
      <c r="G179" s="554"/>
      <c r="K179" s="624">
        <f>K91</f>
        <v>0</v>
      </c>
      <c r="L179" s="624"/>
      <c r="M179" s="624"/>
      <c r="N179" s="945">
        <f>K179</f>
        <v>0</v>
      </c>
    </row>
    <row r="180" spans="1:14" ht="12.75" customHeight="1">
      <c r="A180" s="657" t="s">
        <v>283</v>
      </c>
      <c r="B180" s="557"/>
      <c r="C180" s="554" t="s">
        <v>284</v>
      </c>
      <c r="E180" s="557"/>
      <c r="F180" s="729"/>
      <c r="G180" s="554"/>
      <c r="H180" s="554"/>
      <c r="K180" s="624">
        <f>SUM(K178:K179)</f>
        <v>0</v>
      </c>
      <c r="L180" s="624"/>
      <c r="M180" s="624"/>
      <c r="N180" s="945">
        <f>K180</f>
        <v>0</v>
      </c>
    </row>
    <row r="181" spans="1:14" ht="12.75" customHeight="1">
      <c r="A181" s="657" t="s">
        <v>285</v>
      </c>
      <c r="F181" s="729"/>
      <c r="G181" s="554"/>
      <c r="H181" s="554"/>
      <c r="I181" s="554"/>
      <c r="J181" s="556"/>
      <c r="K181" s="624"/>
      <c r="L181" s="624"/>
      <c r="M181" s="624"/>
      <c r="N181" s="945"/>
    </row>
    <row r="182" spans="1:14" ht="12.75" customHeight="1">
      <c r="A182" s="657" t="s">
        <v>286</v>
      </c>
      <c r="C182" s="734">
        <f>$A$114</f>
        <v>0</v>
      </c>
      <c r="D182" s="739"/>
      <c r="F182" s="624">
        <f>K109</f>
        <v>0</v>
      </c>
      <c r="G182" s="557"/>
      <c r="I182" s="554"/>
      <c r="J182" s="556"/>
      <c r="K182" s="624">
        <f>K127</f>
        <v>0</v>
      </c>
      <c r="L182" s="624"/>
      <c r="M182" s="624"/>
      <c r="N182" s="945">
        <f>K182</f>
        <v>0</v>
      </c>
    </row>
    <row r="183" spans="1:14" ht="12.75" customHeight="1">
      <c r="A183" s="657" t="s">
        <v>287</v>
      </c>
      <c r="C183" s="729" t="str">
        <f>C147</f>
        <v>DHHS - Helen Fung, 415-437-7820</v>
      </c>
      <c r="G183" s="554"/>
      <c r="H183" s="554"/>
      <c r="I183" s="554"/>
      <c r="J183" s="556"/>
      <c r="K183" s="729"/>
      <c r="L183" s="624"/>
      <c r="M183" s="624"/>
      <c r="N183" s="945"/>
    </row>
    <row r="184" spans="1:14" ht="12.75" customHeight="1">
      <c r="A184" s="657" t="s">
        <v>288</v>
      </c>
      <c r="C184" s="558">
        <f>C148</f>
        <v>40885</v>
      </c>
      <c r="D184" s="740"/>
      <c r="G184" s="554"/>
      <c r="H184" s="554"/>
      <c r="I184" s="554"/>
      <c r="J184" s="556"/>
      <c r="K184" s="729"/>
      <c r="L184" s="624"/>
      <c r="M184" s="624"/>
      <c r="N184" s="945"/>
    </row>
    <row r="185" spans="1:14" ht="12.75" customHeight="1">
      <c r="A185" s="657" t="s">
        <v>289</v>
      </c>
      <c r="B185" s="557"/>
      <c r="C185" s="729" t="s">
        <v>284</v>
      </c>
      <c r="E185" s="557"/>
      <c r="G185" s="554"/>
      <c r="H185" s="554"/>
      <c r="K185" s="624">
        <f>K127</f>
        <v>0</v>
      </c>
      <c r="L185" s="624"/>
      <c r="M185" s="624"/>
      <c r="N185" s="945">
        <f>K185</f>
        <v>0</v>
      </c>
    </row>
    <row r="186" spans="1:14" ht="12.75" customHeight="1">
      <c r="A186" s="657" t="s">
        <v>290</v>
      </c>
      <c r="C186" s="729"/>
      <c r="G186" s="554"/>
      <c r="H186" s="554"/>
      <c r="I186" s="554"/>
      <c r="J186" s="556"/>
      <c r="K186" s="729"/>
      <c r="L186" s="624"/>
      <c r="M186" s="624"/>
      <c r="N186" s="945"/>
    </row>
    <row r="187" spans="1:14" ht="12.75" customHeight="1">
      <c r="A187" s="661" t="s">
        <v>291</v>
      </c>
      <c r="B187" s="735"/>
      <c r="C187" s="663" t="s">
        <v>284</v>
      </c>
      <c r="D187" s="663"/>
      <c r="E187" s="735"/>
      <c r="F187" s="663"/>
      <c r="G187" s="663"/>
      <c r="H187" s="663"/>
      <c r="I187" s="735"/>
      <c r="J187" s="735"/>
      <c r="K187" s="667">
        <f>K112</f>
        <v>0</v>
      </c>
      <c r="L187" s="667"/>
      <c r="M187" s="667"/>
      <c r="N187" s="666">
        <f>K187</f>
        <v>0</v>
      </c>
    </row>
    <row r="188" spans="1:14" ht="12.75" customHeight="1" thickBot="1">
      <c r="A188" s="1019" t="s">
        <v>298</v>
      </c>
      <c r="B188" s="1025"/>
      <c r="C188" s="1021" t="str">
        <f>IF(L3&gt;1,L3,"")</f>
        <v/>
      </c>
      <c r="D188" s="1021"/>
      <c r="E188" s="1026"/>
      <c r="F188" s="1021" t="str">
        <f>IF(L4&gt;1,L4,"")</f>
        <v/>
      </c>
      <c r="G188" s="1029"/>
      <c r="H188" s="1029"/>
      <c r="I188" s="1025"/>
      <c r="J188" s="1025"/>
      <c r="K188" s="1025"/>
      <c r="L188" s="1028"/>
      <c r="M188" s="1028"/>
      <c r="N188" s="1030"/>
    </row>
    <row r="189" spans="1:14" ht="12.75" customHeight="1">
      <c r="A189" s="657" t="s">
        <v>279</v>
      </c>
      <c r="C189" s="729"/>
      <c r="D189" s="729"/>
      <c r="E189" s="729"/>
      <c r="F189" s="729"/>
      <c r="G189" s="554"/>
      <c r="H189" s="554"/>
      <c r="I189" s="554"/>
      <c r="J189" s="554"/>
      <c r="K189" s="554"/>
      <c r="L189" s="741" t="s">
        <v>299</v>
      </c>
      <c r="M189" s="732"/>
      <c r="N189" s="742" t="s">
        <v>155</v>
      </c>
    </row>
    <row r="190" spans="1:14" ht="12.75" customHeight="1">
      <c r="A190" s="657" t="s">
        <v>281</v>
      </c>
      <c r="B190" s="557"/>
      <c r="C190" s="729"/>
      <c r="D190" s="729"/>
      <c r="E190" s="624"/>
      <c r="F190" s="729"/>
      <c r="G190" s="554"/>
      <c r="L190" s="624">
        <f>L99</f>
        <v>0</v>
      </c>
      <c r="M190" s="624"/>
      <c r="N190" s="945">
        <f>L190</f>
        <v>0</v>
      </c>
    </row>
    <row r="191" spans="1:14" ht="12.75" customHeight="1">
      <c r="A191" s="657" t="s">
        <v>282</v>
      </c>
      <c r="B191" s="557"/>
      <c r="C191" s="729"/>
      <c r="D191" s="729"/>
      <c r="E191" s="624"/>
      <c r="F191" s="729"/>
      <c r="G191" s="554"/>
      <c r="L191" s="624">
        <f>L91</f>
        <v>0</v>
      </c>
      <c r="M191" s="624"/>
      <c r="N191" s="945">
        <f>L191</f>
        <v>0</v>
      </c>
    </row>
    <row r="192" spans="1:14" ht="12.75" customHeight="1">
      <c r="A192" s="657" t="s">
        <v>283</v>
      </c>
      <c r="B192" s="557"/>
      <c r="C192" s="729" t="s">
        <v>284</v>
      </c>
      <c r="D192" s="729"/>
      <c r="E192" s="624"/>
      <c r="F192" s="729"/>
      <c r="G192" s="554"/>
      <c r="L192" s="624">
        <f>SUM(L190:L191)</f>
        <v>0</v>
      </c>
      <c r="M192" s="624"/>
      <c r="N192" s="945">
        <f>L192</f>
        <v>0</v>
      </c>
    </row>
    <row r="193" spans="1:14" ht="12.75" customHeight="1">
      <c r="A193" s="657" t="s">
        <v>285</v>
      </c>
      <c r="C193" s="729"/>
      <c r="D193" s="729"/>
      <c r="E193" s="729"/>
      <c r="F193" s="729"/>
      <c r="G193" s="554"/>
      <c r="H193" s="554"/>
      <c r="I193" s="554"/>
      <c r="J193" s="556"/>
      <c r="L193" s="624"/>
      <c r="M193" s="624"/>
      <c r="N193" s="945"/>
    </row>
    <row r="194" spans="1:14" ht="12.75" customHeight="1">
      <c r="A194" s="657" t="s">
        <v>286</v>
      </c>
      <c r="C194" s="734">
        <f>$A$114</f>
        <v>0</v>
      </c>
      <c r="D194" s="734"/>
      <c r="E194" s="729"/>
      <c r="F194" s="624">
        <f>L109</f>
        <v>0</v>
      </c>
      <c r="G194" s="557"/>
      <c r="H194" s="554"/>
      <c r="I194" s="554"/>
      <c r="J194" s="556"/>
      <c r="L194" s="624">
        <f>L127</f>
        <v>0</v>
      </c>
      <c r="M194" s="624"/>
      <c r="N194" s="945">
        <f>L194</f>
        <v>0</v>
      </c>
    </row>
    <row r="195" spans="1:14" ht="12.75" customHeight="1">
      <c r="A195" s="657" t="s">
        <v>287</v>
      </c>
      <c r="C195" s="729" t="str">
        <f>C147</f>
        <v>DHHS - Helen Fung, 415-437-7820</v>
      </c>
      <c r="D195" s="729"/>
      <c r="E195" s="729"/>
      <c r="F195" s="729"/>
      <c r="G195" s="554"/>
      <c r="H195" s="554"/>
      <c r="I195" s="554"/>
      <c r="J195" s="556"/>
      <c r="L195" s="729"/>
      <c r="M195" s="729"/>
      <c r="N195" s="945"/>
    </row>
    <row r="196" spans="1:14" ht="12.75" customHeight="1">
      <c r="A196" s="657" t="s">
        <v>288</v>
      </c>
      <c r="C196" s="558">
        <f>C148</f>
        <v>40885</v>
      </c>
      <c r="D196" s="558"/>
      <c r="E196" s="729"/>
      <c r="F196" s="729"/>
      <c r="G196" s="554"/>
      <c r="H196" s="554"/>
      <c r="I196" s="554"/>
      <c r="J196" s="556"/>
      <c r="L196" s="729"/>
      <c r="M196" s="729"/>
      <c r="N196" s="945"/>
    </row>
    <row r="197" spans="1:14" ht="12.75" customHeight="1">
      <c r="A197" s="657" t="s">
        <v>289</v>
      </c>
      <c r="B197" s="557"/>
      <c r="C197" s="729" t="s">
        <v>284</v>
      </c>
      <c r="D197" s="729"/>
      <c r="E197" s="624"/>
      <c r="F197" s="729"/>
      <c r="G197" s="554"/>
      <c r="L197" s="624">
        <f>L127</f>
        <v>0</v>
      </c>
      <c r="M197" s="624"/>
      <c r="N197" s="945">
        <f>L197</f>
        <v>0</v>
      </c>
    </row>
    <row r="198" spans="1:14" ht="12.75" customHeight="1">
      <c r="A198" s="657" t="s">
        <v>290</v>
      </c>
      <c r="C198" s="729"/>
      <c r="D198" s="729"/>
      <c r="E198" s="729"/>
      <c r="F198" s="729"/>
      <c r="G198" s="554"/>
      <c r="H198" s="554"/>
      <c r="I198" s="554"/>
      <c r="J198" s="556"/>
      <c r="L198" s="729"/>
      <c r="M198" s="729"/>
      <c r="N198" s="945"/>
    </row>
    <row r="199" spans="1:14" ht="12.75" customHeight="1">
      <c r="A199" s="661" t="s">
        <v>291</v>
      </c>
      <c r="B199" s="735"/>
      <c r="C199" s="736" t="s">
        <v>284</v>
      </c>
      <c r="D199" s="736"/>
      <c r="E199" s="667"/>
      <c r="F199" s="736"/>
      <c r="G199" s="663"/>
      <c r="H199" s="735"/>
      <c r="I199" s="735"/>
      <c r="J199" s="735"/>
      <c r="K199" s="735"/>
      <c r="L199" s="667">
        <f>L112</f>
        <v>0</v>
      </c>
      <c r="M199" s="667"/>
      <c r="N199" s="666">
        <f>L199</f>
        <v>0</v>
      </c>
    </row>
    <row r="200" spans="1:14" ht="12.75" customHeight="1" thickBot="1">
      <c r="A200" s="1031" t="s">
        <v>300</v>
      </c>
      <c r="B200" s="1032"/>
      <c r="C200" s="1033"/>
      <c r="D200" s="1033"/>
      <c r="E200" s="1032"/>
      <c r="F200" s="1033"/>
      <c r="G200" s="1033"/>
      <c r="H200" s="1032"/>
      <c r="I200" s="1032"/>
      <c r="J200" s="1032"/>
      <c r="K200" s="1034"/>
      <c r="L200" s="1034"/>
      <c r="M200" s="1034"/>
      <c r="N200" s="1035"/>
    </row>
    <row r="201" spans="1:14" ht="12.75" customHeight="1">
      <c r="A201" s="657" t="s">
        <v>301</v>
      </c>
      <c r="G201" s="554"/>
      <c r="H201" s="554"/>
      <c r="I201" s="554"/>
      <c r="J201" s="556"/>
      <c r="N201" s="744"/>
    </row>
    <row r="202" spans="1:14" ht="12.75" customHeight="1">
      <c r="A202" s="657" t="s">
        <v>302</v>
      </c>
      <c r="G202" s="554"/>
      <c r="H202" s="554"/>
      <c r="I202" s="554"/>
      <c r="J202" s="556"/>
      <c r="K202" s="557" t="s">
        <v>284</v>
      </c>
      <c r="N202" s="647">
        <f>N99</f>
        <v>0</v>
      </c>
    </row>
    <row r="203" spans="1:14" ht="12.75" customHeight="1">
      <c r="A203" s="657" t="s">
        <v>303</v>
      </c>
      <c r="G203" s="554"/>
      <c r="H203" s="554"/>
      <c r="I203" s="554"/>
      <c r="J203" s="556"/>
      <c r="K203" s="557" t="s">
        <v>284</v>
      </c>
      <c r="N203" s="647">
        <f>N91</f>
        <v>0</v>
      </c>
    </row>
    <row r="204" spans="1:14" ht="12.75" customHeight="1">
      <c r="A204" s="657" t="s">
        <v>304</v>
      </c>
      <c r="G204" s="554"/>
      <c r="H204" s="554"/>
      <c r="I204" s="554"/>
      <c r="J204" s="556"/>
      <c r="K204" s="557" t="s">
        <v>284</v>
      </c>
      <c r="N204" s="647">
        <f>N101</f>
        <v>0</v>
      </c>
    </row>
    <row r="205" spans="1:14" ht="12.75" customHeight="1">
      <c r="A205" s="657" t="s">
        <v>305</v>
      </c>
      <c r="G205" s="554"/>
      <c r="H205" s="554"/>
      <c r="I205" s="554"/>
      <c r="J205" s="556"/>
      <c r="K205" s="557" t="s">
        <v>284</v>
      </c>
      <c r="N205" s="647">
        <f>N127</f>
        <v>0</v>
      </c>
    </row>
    <row r="206" spans="1:14" ht="12.75" customHeight="1">
      <c r="A206" s="661" t="s">
        <v>306</v>
      </c>
      <c r="B206" s="663"/>
      <c r="C206" s="663"/>
      <c r="D206" s="663"/>
      <c r="E206" s="663"/>
      <c r="F206" s="663"/>
      <c r="G206" s="663"/>
      <c r="H206" s="663"/>
      <c r="I206" s="663"/>
      <c r="J206" s="745"/>
      <c r="K206" s="735" t="s">
        <v>284</v>
      </c>
      <c r="L206" s="735"/>
      <c r="M206" s="735"/>
      <c r="N206" s="746">
        <f>N128</f>
        <v>0</v>
      </c>
    </row>
  </sheetData>
  <sheetProtection selectLockedCells="1"/>
  <mergeCells count="7">
    <mergeCell ref="B3:E3"/>
    <mergeCell ref="A139:N139"/>
    <mergeCell ref="A99:G99"/>
    <mergeCell ref="A100:G100"/>
    <mergeCell ref="A102:G102"/>
    <mergeCell ref="A110:F110"/>
    <mergeCell ref="E116:G116"/>
  </mergeCells>
  <dataValidations xWindow="530" yWindow="375" count="4">
    <dataValidation type="list" allowBlank="1" showInputMessage="1" showErrorMessage="1" promptTitle="Applicable Rates " prompt="53.00 on-campus starts 7/2017_x000a_26.00 off-campus_x000a_57.50 on-campus Instruction_x000a_36.00 on-campus Other Sponsored Activity_x000a_8% Training_x000a_10% TDC_x000a_11.11% (10% Total Costs)_x000a_28.205% (22% Total Costs)" sqref="G110" xr:uid="{00000000-0002-0000-0300-000000000000}">
      <formula1>"52%,53%,26%,57.5%,36%,8%,10%,11.11%,28.205%"</formula1>
    </dataValidation>
    <dataValidation type="list" allowBlank="1" showInputMessage="1" showErrorMessage="1" promptTitle="Applicable Rates " prompt="FY24_x000a_31.23% - Faculty_x000a_35.18% - Exempt_x000a_42.52% - CS/BU" sqref="G19 G7 G9 G11 G13 G15 G17" xr:uid="{00000000-0002-0000-0300-000001000000}">
      <formula1>RANGE1</formula1>
    </dataValidation>
    <dataValidation type="list" allowBlank="1" showInputMessage="1" showErrorMessage="1" promptTitle="Student FT PT" prompt="FY24_x000a_FT- 2.2%_x000a_PT-10%" sqref="G32 G30" xr:uid="{00000000-0002-0000-0300-000002000000}">
      <formula1>RANGE2</formula1>
    </dataValidation>
    <dataValidation type="list" allowBlank="1" showInputMessage="1" showErrorMessage="1" promptTitle="Non-Student Temporary" prompt="FY24_x000a_NO PERS - 10.07%_x000a_PERS - 19.46%_x000a_BOTH - 64.93%" sqref="G38 G34 G36" xr:uid="{00000000-0002-0000-0300-000003000000}">
      <formula1>RANGE3</formula1>
    </dataValidation>
  </dataValidations>
  <hyperlinks>
    <hyperlink ref="F93" r:id="rId1" xr:uid="{00000000-0004-0000-0300-000000000000}"/>
    <hyperlink ref="P10" r:id="rId2" xr:uid="{00000000-0004-0000-0300-000001000000}"/>
    <hyperlink ref="P13" r:id="rId3" xr:uid="{00000000-0004-0000-0300-000002000000}"/>
  </hyperlinks>
  <pageMargins left="0.03" right="0.03" top="0.03" bottom="0.03" header="0.03" footer="0.3"/>
  <pageSetup scale="48" orientation="portrait" r:id="rId4"/>
  <drawing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4"/>
  <sheetViews>
    <sheetView zoomScaleNormal="100" workbookViewId="0">
      <selection activeCell="B35" sqref="B35"/>
    </sheetView>
  </sheetViews>
  <sheetFormatPr defaultRowHeight="12.75"/>
  <cols>
    <col min="1" max="1" width="22.42578125" bestFit="1" customWidth="1"/>
    <col min="2" max="2" width="73.28515625" bestFit="1" customWidth="1"/>
    <col min="3" max="3" width="12.28515625" bestFit="1" customWidth="1"/>
    <col min="4" max="4" width="20.28515625" bestFit="1" customWidth="1"/>
    <col min="5" max="5" width="88.140625" customWidth="1"/>
  </cols>
  <sheetData>
    <row r="1" spans="1:12" ht="23.25">
      <c r="A1" s="1444" t="s">
        <v>628</v>
      </c>
      <c r="B1" s="1445"/>
      <c r="C1" s="1445"/>
      <c r="D1" s="1445"/>
      <c r="E1" s="1445"/>
      <c r="F1" s="144"/>
    </row>
    <row r="2" spans="1:12" ht="35.25" customHeight="1">
      <c r="A2" s="104" t="s">
        <v>244</v>
      </c>
      <c r="B2" s="105" t="s">
        <v>245</v>
      </c>
      <c r="C2" s="105" t="s">
        <v>246</v>
      </c>
      <c r="D2" s="105" t="s">
        <v>247</v>
      </c>
      <c r="E2" s="105" t="s">
        <v>248</v>
      </c>
      <c r="F2" s="106"/>
      <c r="G2" s="103"/>
      <c r="H2" s="103"/>
      <c r="I2" s="103"/>
      <c r="J2" s="103"/>
      <c r="K2" s="103"/>
      <c r="L2" s="103"/>
    </row>
    <row r="3" spans="1:12">
      <c r="A3" s="145" t="s">
        <v>249</v>
      </c>
      <c r="B3" s="145" t="s">
        <v>250</v>
      </c>
      <c r="C3" s="145" t="s">
        <v>251</v>
      </c>
      <c r="D3" s="145" t="s">
        <v>252</v>
      </c>
      <c r="E3" s="145" t="s">
        <v>253</v>
      </c>
      <c r="F3" s="145" t="s">
        <v>254</v>
      </c>
    </row>
    <row r="4" spans="1:12">
      <c r="A4" s="146"/>
      <c r="B4" s="146"/>
      <c r="C4" s="146"/>
      <c r="D4" s="146"/>
      <c r="E4" s="146"/>
      <c r="F4" s="146"/>
    </row>
    <row r="5" spans="1:12">
      <c r="A5" s="147"/>
      <c r="B5" s="147"/>
      <c r="C5" s="147"/>
      <c r="D5" s="147"/>
      <c r="E5" s="146"/>
      <c r="F5" s="146"/>
    </row>
    <row r="6" spans="1:12">
      <c r="A6" s="146"/>
      <c r="B6" s="146"/>
      <c r="C6" s="146"/>
      <c r="D6" s="146"/>
      <c r="E6" s="146"/>
      <c r="F6" s="146"/>
    </row>
    <row r="7" spans="1:12">
      <c r="A7" s="147"/>
      <c r="B7" s="147"/>
      <c r="C7" s="147"/>
      <c r="D7" s="147"/>
      <c r="E7" s="146"/>
      <c r="F7" s="146"/>
    </row>
    <row r="8" spans="1:12">
      <c r="A8" s="146"/>
      <c r="B8" s="146"/>
      <c r="C8" s="146"/>
      <c r="D8" s="146"/>
      <c r="E8" s="146"/>
      <c r="F8" s="146"/>
    </row>
    <row r="9" spans="1:12">
      <c r="A9" s="147"/>
      <c r="B9" s="147"/>
      <c r="C9" s="147"/>
      <c r="D9" s="147"/>
      <c r="E9" s="146"/>
      <c r="F9" s="146"/>
    </row>
    <row r="10" spans="1:12">
      <c r="A10" s="146"/>
      <c r="B10" s="146"/>
      <c r="C10" s="146"/>
      <c r="D10" s="146"/>
      <c r="E10" s="146"/>
      <c r="F10" s="146"/>
    </row>
    <row r="11" spans="1:12">
      <c r="A11" s="147"/>
      <c r="B11" s="147"/>
      <c r="C11" s="147"/>
      <c r="D11" s="147"/>
      <c r="E11" s="146"/>
      <c r="F11" s="146"/>
    </row>
    <row r="12" spans="1:12">
      <c r="A12" s="146"/>
      <c r="B12" s="146"/>
      <c r="C12" s="146"/>
      <c r="D12" s="146"/>
      <c r="E12" s="146"/>
      <c r="F12" s="146"/>
    </row>
    <row r="13" spans="1:12">
      <c r="A13" s="147"/>
      <c r="B13" s="147"/>
      <c r="C13" s="147"/>
      <c r="D13" s="147"/>
      <c r="E13" s="146"/>
      <c r="F13" s="146"/>
    </row>
    <row r="14" spans="1:12">
      <c r="A14" s="146"/>
      <c r="B14" s="146"/>
      <c r="C14" s="146"/>
      <c r="D14" s="146"/>
      <c r="E14" s="146"/>
      <c r="F14" s="146"/>
    </row>
    <row r="15" spans="1:12">
      <c r="A15" s="147"/>
      <c r="B15" s="147"/>
      <c r="C15" s="147"/>
      <c r="D15" s="147"/>
      <c r="E15" s="146"/>
      <c r="F15" s="146"/>
    </row>
    <row r="16" spans="1:12">
      <c r="A16" s="146"/>
      <c r="B16" s="146"/>
      <c r="C16" s="146"/>
      <c r="D16" s="146"/>
      <c r="E16" s="146"/>
      <c r="F16" s="146"/>
    </row>
    <row r="17" spans="1:6">
      <c r="A17" s="147"/>
      <c r="B17" s="147"/>
      <c r="C17" s="147"/>
      <c r="D17" s="147"/>
      <c r="E17" s="146"/>
      <c r="F17" s="146"/>
    </row>
    <row r="18" spans="1:6">
      <c r="A18" s="146"/>
      <c r="B18" s="146"/>
      <c r="C18" s="146"/>
      <c r="D18" s="146"/>
      <c r="E18" s="146"/>
      <c r="F18" s="146"/>
    </row>
    <row r="19" spans="1:6">
      <c r="A19" s="147"/>
      <c r="B19" s="147"/>
      <c r="C19" s="147"/>
      <c r="D19" s="147"/>
      <c r="E19" s="146"/>
      <c r="F19" s="146"/>
    </row>
    <row r="20" spans="1:6">
      <c r="A20" s="147"/>
      <c r="B20" s="146"/>
      <c r="C20" s="146"/>
      <c r="D20" s="146"/>
      <c r="E20" s="146"/>
      <c r="F20" s="146"/>
    </row>
    <row r="21" spans="1:6">
      <c r="A21" s="147"/>
      <c r="B21" s="146"/>
      <c r="C21" s="146"/>
      <c r="D21" s="146"/>
      <c r="E21" s="146"/>
      <c r="F21" s="146"/>
    </row>
    <row r="22" spans="1:6">
      <c r="A22" s="147"/>
      <c r="B22" s="146"/>
      <c r="C22" s="146"/>
      <c r="D22" s="146"/>
      <c r="E22" s="146"/>
      <c r="F22" s="146"/>
    </row>
    <row r="23" spans="1:6">
      <c r="A23" s="147"/>
      <c r="B23" s="146"/>
      <c r="C23" s="146"/>
      <c r="D23" s="146"/>
      <c r="E23" s="146"/>
      <c r="F23" s="146"/>
    </row>
    <row r="24" spans="1:6">
      <c r="A24" s="147"/>
      <c r="B24" s="146"/>
      <c r="C24" s="146"/>
      <c r="D24" s="146"/>
      <c r="E24" s="146"/>
      <c r="F24" s="146"/>
    </row>
    <row r="25" spans="1:6">
      <c r="A25" s="147"/>
      <c r="B25" s="146"/>
      <c r="C25" s="146"/>
      <c r="D25" s="146"/>
      <c r="E25" s="146"/>
      <c r="F25" s="146"/>
    </row>
    <row r="26" spans="1:6">
      <c r="A26" s="147"/>
      <c r="B26" s="146"/>
      <c r="C26" s="146"/>
      <c r="D26" s="146"/>
      <c r="E26" s="146"/>
      <c r="F26" s="146"/>
    </row>
    <row r="27" spans="1:6">
      <c r="A27" s="147"/>
      <c r="B27" s="146"/>
      <c r="C27" s="146"/>
      <c r="D27" s="146"/>
      <c r="E27" s="146"/>
      <c r="F27" s="146"/>
    </row>
    <row r="28" spans="1:6">
      <c r="A28" s="147"/>
      <c r="B28" s="146"/>
      <c r="C28" s="146"/>
      <c r="D28" s="146"/>
      <c r="E28" s="146"/>
      <c r="F28" s="146"/>
    </row>
    <row r="29" spans="1:6">
      <c r="A29" s="147"/>
      <c r="B29" s="146"/>
      <c r="C29" s="146"/>
      <c r="D29" s="146"/>
      <c r="E29" s="146"/>
      <c r="F29" s="146"/>
    </row>
    <row r="30" spans="1:6">
      <c r="A30" s="147"/>
      <c r="B30" s="146"/>
      <c r="C30" s="146"/>
      <c r="D30" s="146"/>
      <c r="E30" s="146"/>
      <c r="F30" s="146"/>
    </row>
    <row r="31" spans="1:6">
      <c r="A31" s="147"/>
      <c r="B31" s="146"/>
      <c r="C31" s="146"/>
      <c r="D31" s="146"/>
      <c r="E31" s="146"/>
      <c r="F31" s="148"/>
    </row>
    <row r="32" spans="1:6">
      <c r="A32" s="147"/>
      <c r="B32" s="146"/>
      <c r="C32" s="148"/>
      <c r="D32" s="146"/>
      <c r="E32" s="148"/>
      <c r="F32" s="148"/>
    </row>
    <row r="33" spans="1:6">
      <c r="A33" s="148"/>
      <c r="B33" s="148"/>
      <c r="C33" s="148"/>
      <c r="D33" s="148"/>
      <c r="E33" s="148"/>
      <c r="F33" s="148"/>
    </row>
    <row r="34" spans="1:6">
      <c r="A34" s="148"/>
      <c r="B34" s="148"/>
      <c r="C34" s="148"/>
      <c r="D34" s="148"/>
      <c r="E34" s="148"/>
      <c r="F34" s="148"/>
    </row>
  </sheetData>
  <mergeCells count="1">
    <mergeCell ref="A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1" transitionEvaluation="1"/>
  <dimension ref="A1:IZ52"/>
  <sheetViews>
    <sheetView showGridLines="0" zoomScaleNormal="100" workbookViewId="0">
      <selection activeCell="H2" sqref="H2"/>
    </sheetView>
  </sheetViews>
  <sheetFormatPr defaultColWidth="9.7109375" defaultRowHeight="15"/>
  <cols>
    <col min="1" max="1" width="9.7109375" style="825"/>
    <col min="2" max="2" width="16.42578125" style="825" customWidth="1"/>
    <col min="3" max="3" width="13.5703125" style="825" customWidth="1"/>
    <col min="4" max="4" width="12.28515625" style="825" customWidth="1"/>
    <col min="5" max="5" width="1.7109375" style="825" customWidth="1"/>
    <col min="6" max="6" width="22.7109375" style="825" customWidth="1"/>
    <col min="7" max="7" width="12.140625" style="825" customWidth="1"/>
    <col min="8" max="8" width="12.28515625" style="825" customWidth="1"/>
    <col min="9" max="9" width="1.7109375" style="852" customWidth="1"/>
    <col min="10" max="10" width="22.7109375" style="825" customWidth="1"/>
    <col min="11" max="11" width="11.28515625" style="825" customWidth="1"/>
    <col min="12" max="12" width="12.28515625" style="825" customWidth="1"/>
    <col min="13" max="13" width="1.7109375" style="852" customWidth="1"/>
    <col min="14" max="14" width="16.42578125" style="825" customWidth="1"/>
    <col min="15" max="15" width="10.85546875" style="825" customWidth="1"/>
    <col min="16" max="16" width="12.28515625" style="825" customWidth="1"/>
    <col min="17" max="16384" width="9.7109375" style="825"/>
  </cols>
  <sheetData>
    <row r="1" spans="1:260" ht="15.75" thickBot="1">
      <c r="A1" s="1467" t="s">
        <v>368</v>
      </c>
      <c r="B1" s="1468"/>
      <c r="C1" s="1106">
        <v>5000</v>
      </c>
      <c r="D1" s="1456" t="s">
        <v>669</v>
      </c>
      <c r="E1" s="1457"/>
      <c r="F1" s="1458"/>
      <c r="H1" s="827" t="s">
        <v>666</v>
      </c>
      <c r="L1" s="1108"/>
      <c r="O1" s="827"/>
    </row>
    <row r="2" spans="1:260" ht="28.5" customHeight="1">
      <c r="A2" s="1469" t="s">
        <v>367</v>
      </c>
      <c r="B2" s="1470"/>
      <c r="C2" s="1471"/>
      <c r="H2" s="829" t="s">
        <v>847</v>
      </c>
      <c r="K2" s="829"/>
      <c r="O2" s="829"/>
    </row>
    <row r="3" spans="1:260" ht="33" customHeight="1" thickBot="1"/>
    <row r="4" spans="1:260" ht="16.5" thickBot="1">
      <c r="B4" s="1472" t="s">
        <v>759</v>
      </c>
      <c r="C4" s="1473"/>
      <c r="D4" s="1473"/>
      <c r="E4" s="1473"/>
      <c r="F4" s="1473"/>
      <c r="G4" s="1473"/>
      <c r="H4" s="1473"/>
      <c r="I4" s="1473"/>
      <c r="J4" s="1473"/>
      <c r="K4" s="1473"/>
      <c r="L4" s="1473"/>
      <c r="M4" s="1473"/>
      <c r="N4" s="1473"/>
      <c r="O4" s="1473"/>
      <c r="P4" s="1474"/>
    </row>
    <row r="5" spans="1:260" ht="15.75" thickBot="1">
      <c r="B5" s="1475" t="s">
        <v>364</v>
      </c>
      <c r="C5" s="1476"/>
      <c r="D5" s="1477"/>
      <c r="F5" s="1478" t="s">
        <v>363</v>
      </c>
      <c r="G5" s="1479"/>
      <c r="H5" s="1480"/>
      <c r="I5" s="1053"/>
      <c r="J5" s="1478" t="s">
        <v>105</v>
      </c>
      <c r="K5" s="1479"/>
      <c r="L5" s="1480"/>
      <c r="M5" s="1053"/>
      <c r="N5" s="1478" t="s">
        <v>362</v>
      </c>
      <c r="O5" s="1479"/>
      <c r="P5" s="1480"/>
    </row>
    <row r="6" spans="1:260" ht="16.5" customHeight="1">
      <c r="B6" s="1054" t="s">
        <v>361</v>
      </c>
      <c r="C6" s="1055"/>
      <c r="D6" s="1056" t="s">
        <v>230</v>
      </c>
      <c r="F6" s="1057" t="s">
        <v>231</v>
      </c>
      <c r="G6" s="1058"/>
      <c r="H6" s="1059" t="s">
        <v>230</v>
      </c>
      <c r="I6" s="1060"/>
      <c r="J6" s="1057" t="s">
        <v>231</v>
      </c>
      <c r="K6" s="1058"/>
      <c r="L6" s="1059" t="s">
        <v>230</v>
      </c>
      <c r="M6" s="1060"/>
      <c r="N6" s="1061" t="s">
        <v>232</v>
      </c>
      <c r="O6" s="1058"/>
      <c r="P6" s="1059" t="s">
        <v>230</v>
      </c>
    </row>
    <row r="7" spans="1:260" ht="16.5" customHeight="1">
      <c r="B7" s="1057" t="s">
        <v>648</v>
      </c>
      <c r="C7" s="1058">
        <f>'FY24 DRAFT BEN MODEL'!D8</f>
        <v>6.2E-2</v>
      </c>
      <c r="D7" s="1062">
        <f>$C$1*C7</f>
        <v>310</v>
      </c>
      <c r="F7" s="1057" t="s">
        <v>648</v>
      </c>
      <c r="G7" s="1058">
        <f>$C$7</f>
        <v>6.2E-2</v>
      </c>
      <c r="H7" s="1062">
        <f>$C$1*G7</f>
        <v>310</v>
      </c>
      <c r="I7" s="1063"/>
      <c r="J7" s="1057" t="s">
        <v>648</v>
      </c>
      <c r="K7" s="1058">
        <f>$C$7</f>
        <v>6.2E-2</v>
      </c>
      <c r="L7" s="1062">
        <f>$C$1*K7</f>
        <v>310</v>
      </c>
      <c r="M7" s="1063"/>
      <c r="N7" s="1057" t="s">
        <v>648</v>
      </c>
      <c r="O7" s="1058">
        <v>0</v>
      </c>
      <c r="P7" s="1062">
        <f>$C$1*O7</f>
        <v>0</v>
      </c>
    </row>
    <row r="8" spans="1:260">
      <c r="B8" s="1064" t="s">
        <v>649</v>
      </c>
      <c r="C8" s="1055">
        <f>'FY24 DRAFT BEN MODEL'!D9</f>
        <v>1.4500000000000001E-2</v>
      </c>
      <c r="D8" s="1065">
        <f t="shared" ref="D8:D9" si="0">$C$1*C8</f>
        <v>72.5</v>
      </c>
      <c r="F8" s="1064" t="s">
        <v>649</v>
      </c>
      <c r="G8" s="1055">
        <f>$C$8</f>
        <v>1.4500000000000001E-2</v>
      </c>
      <c r="H8" s="1065">
        <f t="shared" ref="H8:H10" si="1">$C$1*G8</f>
        <v>72.5</v>
      </c>
      <c r="I8" s="1063"/>
      <c r="J8" s="1064" t="s">
        <v>649</v>
      </c>
      <c r="K8" s="1055">
        <f>$C$8</f>
        <v>1.4500000000000001E-2</v>
      </c>
      <c r="L8" s="1065">
        <f t="shared" ref="L8:L10" si="2">$C$1*K8</f>
        <v>72.5</v>
      </c>
      <c r="M8" s="1063"/>
      <c r="N8" s="1064" t="s">
        <v>649</v>
      </c>
      <c r="O8" s="1055">
        <f>$C$8</f>
        <v>1.4500000000000001E-2</v>
      </c>
      <c r="P8" s="1065">
        <f t="shared" ref="P8:P10" si="3">$C$1*O8</f>
        <v>72.5</v>
      </c>
    </row>
    <row r="9" spans="1:260" ht="16.5" customHeight="1">
      <c r="B9" s="1066" t="s">
        <v>650</v>
      </c>
      <c r="C9" s="1055">
        <f>'FY24 DRAFT BEN MODEL'!D13</f>
        <v>9.3899999999999997E-2</v>
      </c>
      <c r="D9" s="1065">
        <f t="shared" si="0"/>
        <v>469.5</v>
      </c>
      <c r="F9" s="1066" t="s">
        <v>659</v>
      </c>
      <c r="G9" s="1099">
        <f>'FY24 DRAFT BEN MODEL'!D10</f>
        <v>0.05</v>
      </c>
      <c r="H9" s="1065">
        <f t="shared" si="1"/>
        <v>250</v>
      </c>
      <c r="I9" s="1063"/>
      <c r="J9" s="1066" t="s">
        <v>659</v>
      </c>
      <c r="K9" s="1099">
        <f>G9</f>
        <v>0.05</v>
      </c>
      <c r="L9" s="1065">
        <f t="shared" si="2"/>
        <v>250</v>
      </c>
      <c r="M9" s="1063"/>
      <c r="N9" s="1066" t="s">
        <v>651</v>
      </c>
      <c r="O9" s="1055">
        <v>7.0000000000000007E-2</v>
      </c>
      <c r="P9" s="1065">
        <f t="shared" si="3"/>
        <v>350.00000000000006</v>
      </c>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4"/>
      <c r="AY9" s="844"/>
      <c r="AZ9" s="844"/>
      <c r="BA9" s="844"/>
      <c r="BB9" s="844"/>
      <c r="BC9" s="844"/>
      <c r="BD9" s="844"/>
      <c r="BE9" s="844"/>
      <c r="BF9" s="844"/>
      <c r="BG9" s="844"/>
      <c r="BH9" s="844"/>
      <c r="BI9" s="844"/>
      <c r="BJ9" s="844"/>
      <c r="BK9" s="844"/>
      <c r="BL9" s="844"/>
      <c r="BM9" s="844"/>
      <c r="BN9" s="844"/>
      <c r="BO9" s="844"/>
      <c r="BP9" s="844"/>
      <c r="BQ9" s="844"/>
      <c r="BR9" s="844"/>
      <c r="BS9" s="844"/>
      <c r="BT9" s="844"/>
      <c r="BU9" s="844"/>
      <c r="BV9" s="844"/>
      <c r="BW9" s="844"/>
      <c r="BX9" s="844"/>
      <c r="BY9" s="844"/>
      <c r="BZ9" s="844"/>
      <c r="CA9" s="844"/>
      <c r="CB9" s="844"/>
      <c r="CC9" s="844"/>
      <c r="CD9" s="844"/>
      <c r="CE9" s="844"/>
      <c r="CF9" s="844"/>
      <c r="CG9" s="844"/>
      <c r="CH9" s="844"/>
      <c r="CI9" s="844"/>
      <c r="CJ9" s="844"/>
      <c r="CK9" s="844"/>
      <c r="CL9" s="844"/>
      <c r="CM9" s="844"/>
      <c r="CN9" s="844"/>
      <c r="CO9" s="844"/>
      <c r="CP9" s="844"/>
      <c r="CQ9" s="844"/>
      <c r="CR9" s="844"/>
      <c r="CS9" s="844"/>
      <c r="CT9" s="844"/>
      <c r="CU9" s="844"/>
      <c r="CV9" s="844"/>
      <c r="CW9" s="844"/>
      <c r="CX9" s="844"/>
      <c r="CY9" s="844"/>
      <c r="CZ9" s="844"/>
      <c r="DA9" s="844"/>
      <c r="DB9" s="844"/>
      <c r="DC9" s="844"/>
      <c r="DD9" s="844"/>
      <c r="DE9" s="844"/>
      <c r="DF9" s="844"/>
      <c r="DG9" s="844"/>
      <c r="DH9" s="844"/>
      <c r="DI9" s="844"/>
      <c r="DJ9" s="844"/>
      <c r="DK9" s="844"/>
      <c r="DL9" s="844"/>
      <c r="DM9" s="844"/>
      <c r="DN9" s="844"/>
      <c r="DO9" s="844"/>
      <c r="DP9" s="844"/>
      <c r="DQ9" s="844"/>
      <c r="DR9" s="844"/>
      <c r="DS9" s="844"/>
      <c r="DT9" s="844"/>
      <c r="DU9" s="844"/>
      <c r="DV9" s="844"/>
      <c r="DW9" s="844"/>
      <c r="DX9" s="844"/>
      <c r="DY9" s="844"/>
      <c r="DZ9" s="844"/>
      <c r="EA9" s="844"/>
      <c r="EB9" s="844"/>
      <c r="EC9" s="844"/>
      <c r="ED9" s="844"/>
      <c r="EE9" s="844"/>
      <c r="EF9" s="844"/>
      <c r="EG9" s="844"/>
      <c r="EH9" s="844"/>
      <c r="EI9" s="844"/>
      <c r="EJ9" s="844"/>
      <c r="EK9" s="844"/>
      <c r="EL9" s="844"/>
      <c r="EM9" s="844"/>
      <c r="EN9" s="844"/>
      <c r="EO9" s="844"/>
      <c r="EP9" s="844"/>
      <c r="EQ9" s="844"/>
      <c r="ER9" s="844"/>
      <c r="ES9" s="844"/>
      <c r="ET9" s="844"/>
      <c r="EU9" s="844"/>
      <c r="EV9" s="844"/>
      <c r="EW9" s="844"/>
      <c r="EX9" s="844"/>
      <c r="EY9" s="844"/>
      <c r="EZ9" s="844"/>
      <c r="FA9" s="844"/>
      <c r="FB9" s="844"/>
      <c r="FC9" s="844"/>
      <c r="FD9" s="844"/>
      <c r="FE9" s="844"/>
      <c r="FF9" s="844"/>
      <c r="FG9" s="844"/>
      <c r="FH9" s="844"/>
      <c r="FI9" s="844"/>
      <c r="FJ9" s="844"/>
      <c r="FK9" s="844"/>
      <c r="FL9" s="844"/>
      <c r="FM9" s="844"/>
      <c r="FN9" s="844"/>
      <c r="FO9" s="844"/>
      <c r="FP9" s="844"/>
      <c r="FQ9" s="844"/>
      <c r="FR9" s="844"/>
      <c r="FS9" s="844"/>
      <c r="FT9" s="844"/>
      <c r="FU9" s="844"/>
      <c r="FV9" s="844"/>
      <c r="FW9" s="844"/>
      <c r="FX9" s="844"/>
      <c r="FY9" s="844"/>
      <c r="FZ9" s="844"/>
      <c r="GA9" s="844"/>
      <c r="GB9" s="844"/>
      <c r="GC9" s="844"/>
      <c r="GD9" s="844"/>
      <c r="GE9" s="844"/>
      <c r="GF9" s="844"/>
      <c r="GG9" s="844"/>
      <c r="GH9" s="844"/>
      <c r="GI9" s="844"/>
      <c r="GJ9" s="844"/>
      <c r="GK9" s="844"/>
      <c r="GL9" s="844"/>
      <c r="GM9" s="844"/>
      <c r="GN9" s="844"/>
      <c r="GO9" s="844"/>
      <c r="GP9" s="844"/>
      <c r="GQ9" s="844"/>
      <c r="GR9" s="844"/>
      <c r="GS9" s="844"/>
      <c r="GT9" s="844"/>
      <c r="GU9" s="844"/>
      <c r="GV9" s="844"/>
      <c r="GW9" s="844"/>
      <c r="GX9" s="844"/>
      <c r="GY9" s="844"/>
      <c r="GZ9" s="844"/>
      <c r="HA9" s="844"/>
      <c r="HB9" s="844"/>
      <c r="HC9" s="844"/>
      <c r="HD9" s="844"/>
      <c r="HE9" s="844"/>
      <c r="HF9" s="844"/>
      <c r="HG9" s="844"/>
      <c r="HH9" s="844"/>
      <c r="HI9" s="844"/>
      <c r="HJ9" s="844"/>
      <c r="HK9" s="844"/>
      <c r="HL9" s="844"/>
      <c r="HM9" s="844"/>
      <c r="HN9" s="844"/>
      <c r="HO9" s="844"/>
      <c r="HP9" s="844"/>
      <c r="HQ9" s="844"/>
      <c r="HR9" s="844"/>
      <c r="HS9" s="844"/>
      <c r="HT9" s="844"/>
      <c r="HU9" s="844"/>
      <c r="HV9" s="844"/>
      <c r="HW9" s="844"/>
      <c r="HX9" s="844"/>
      <c r="HY9" s="844"/>
      <c r="HZ9" s="844"/>
      <c r="IA9" s="844"/>
      <c r="IB9" s="844"/>
      <c r="IC9" s="844"/>
      <c r="ID9" s="844"/>
      <c r="IE9" s="844"/>
      <c r="IF9" s="844"/>
      <c r="IG9" s="844"/>
      <c r="IH9" s="844"/>
      <c r="II9" s="844"/>
      <c r="IJ9" s="844"/>
      <c r="IK9" s="844"/>
      <c r="IL9" s="844"/>
      <c r="IM9" s="844"/>
      <c r="IN9" s="844"/>
      <c r="IO9" s="844"/>
      <c r="IP9" s="844"/>
      <c r="IQ9" s="844"/>
      <c r="IR9" s="844"/>
      <c r="IS9" s="844"/>
      <c r="IT9" s="844"/>
      <c r="IU9" s="844"/>
      <c r="IV9" s="844"/>
      <c r="IW9" s="844"/>
      <c r="IX9" s="844"/>
      <c r="IY9" s="844"/>
      <c r="IZ9" s="844"/>
    </row>
    <row r="10" spans="1:260" s="1067" customFormat="1" ht="16.5" customHeight="1">
      <c r="B10" s="1064" t="s">
        <v>652</v>
      </c>
      <c r="C10" s="1068">
        <f>'FY24 DRAFT BEN MODEL'!D21</f>
        <v>1.8E-3</v>
      </c>
      <c r="D10" s="1065">
        <f>$C$1*C10</f>
        <v>9</v>
      </c>
      <c r="F10" s="1064" t="s">
        <v>652</v>
      </c>
      <c r="G10" s="1068">
        <f>$C$10</f>
        <v>1.8E-3</v>
      </c>
      <c r="H10" s="1065">
        <f t="shared" si="1"/>
        <v>9</v>
      </c>
      <c r="I10" s="1063"/>
      <c r="J10" s="1064" t="s">
        <v>652</v>
      </c>
      <c r="K10" s="1068">
        <f>$C$10</f>
        <v>1.8E-3</v>
      </c>
      <c r="L10" s="1065">
        <f t="shared" si="2"/>
        <v>9</v>
      </c>
      <c r="M10" s="1063"/>
      <c r="N10" s="1064" t="s">
        <v>652</v>
      </c>
      <c r="O10" s="1068">
        <f>$C$10</f>
        <v>1.8E-3</v>
      </c>
      <c r="P10" s="1065">
        <f t="shared" si="3"/>
        <v>9</v>
      </c>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25"/>
      <c r="AS10" s="825"/>
      <c r="AT10" s="825"/>
      <c r="AU10" s="825"/>
      <c r="AV10" s="825"/>
      <c r="AW10" s="825"/>
      <c r="AX10" s="825"/>
      <c r="AY10" s="825"/>
      <c r="AZ10" s="825"/>
      <c r="BA10" s="825"/>
      <c r="BB10" s="825"/>
      <c r="BC10" s="825"/>
      <c r="BD10" s="825"/>
      <c r="BE10" s="825"/>
      <c r="BF10" s="825"/>
      <c r="BG10" s="825"/>
      <c r="BH10" s="825"/>
      <c r="BI10" s="825"/>
      <c r="BJ10" s="825"/>
      <c r="BK10" s="825"/>
      <c r="BL10" s="825"/>
      <c r="BM10" s="825"/>
      <c r="BN10" s="825"/>
      <c r="BO10" s="825"/>
      <c r="BP10" s="825"/>
      <c r="BQ10" s="825"/>
      <c r="BR10" s="825"/>
      <c r="BS10" s="825"/>
      <c r="BT10" s="825"/>
      <c r="BU10" s="825"/>
      <c r="BV10" s="825"/>
      <c r="BW10" s="825"/>
      <c r="BX10" s="825"/>
      <c r="BY10" s="825"/>
      <c r="BZ10" s="825"/>
      <c r="CA10" s="825"/>
      <c r="CB10" s="825"/>
      <c r="CC10" s="825"/>
      <c r="CD10" s="825"/>
      <c r="CE10" s="825"/>
      <c r="CF10" s="825"/>
      <c r="CG10" s="825"/>
      <c r="CH10" s="825"/>
      <c r="CI10" s="825"/>
      <c r="CJ10" s="825"/>
      <c r="CK10" s="825"/>
      <c r="CL10" s="825"/>
      <c r="CM10" s="825"/>
      <c r="CN10" s="825"/>
      <c r="CO10" s="825"/>
      <c r="CP10" s="825"/>
      <c r="CQ10" s="825"/>
      <c r="CR10" s="825"/>
      <c r="CS10" s="825"/>
      <c r="CT10" s="825"/>
      <c r="CU10" s="825"/>
      <c r="CV10" s="825"/>
      <c r="CW10" s="825"/>
      <c r="CX10" s="825"/>
      <c r="CY10" s="825"/>
      <c r="CZ10" s="825"/>
      <c r="DA10" s="825"/>
      <c r="DB10" s="825"/>
      <c r="DC10" s="825"/>
      <c r="DD10" s="825"/>
      <c r="DE10" s="825"/>
      <c r="DF10" s="825"/>
      <c r="DG10" s="825"/>
      <c r="DH10" s="825"/>
      <c r="DI10" s="825"/>
      <c r="DJ10" s="825"/>
      <c r="DK10" s="825"/>
      <c r="DL10" s="825"/>
      <c r="DM10" s="825"/>
      <c r="DN10" s="825"/>
      <c r="DO10" s="825"/>
      <c r="DP10" s="825"/>
      <c r="DQ10" s="825"/>
      <c r="DR10" s="825"/>
      <c r="DS10" s="825"/>
      <c r="DT10" s="825"/>
      <c r="DU10" s="825"/>
      <c r="DV10" s="825"/>
      <c r="DW10" s="825"/>
      <c r="DX10" s="825"/>
      <c r="DY10" s="825"/>
      <c r="DZ10" s="825"/>
      <c r="EA10" s="825"/>
      <c r="EB10" s="825"/>
      <c r="EC10" s="825"/>
      <c r="ED10" s="825"/>
      <c r="EE10" s="825"/>
      <c r="EF10" s="825"/>
      <c r="EG10" s="825"/>
      <c r="EH10" s="825"/>
      <c r="EI10" s="825"/>
      <c r="EJ10" s="825"/>
      <c r="EK10" s="825"/>
      <c r="EL10" s="825"/>
      <c r="EM10" s="825"/>
      <c r="EN10" s="825"/>
      <c r="EO10" s="825"/>
      <c r="EP10" s="825"/>
      <c r="EQ10" s="825"/>
      <c r="ER10" s="825"/>
      <c r="ES10" s="825"/>
      <c r="ET10" s="825"/>
      <c r="EU10" s="825"/>
      <c r="EV10" s="825"/>
      <c r="EW10" s="825"/>
      <c r="EX10" s="825"/>
      <c r="EY10" s="825"/>
      <c r="EZ10" s="825"/>
      <c r="FA10" s="825"/>
      <c r="FB10" s="825"/>
      <c r="FC10" s="825"/>
      <c r="FD10" s="825"/>
      <c r="FE10" s="825"/>
      <c r="FF10" s="825"/>
      <c r="FG10" s="825"/>
      <c r="FH10" s="825"/>
      <c r="FI10" s="825"/>
      <c r="FJ10" s="825"/>
      <c r="FK10" s="825"/>
      <c r="FL10" s="825"/>
      <c r="FM10" s="825"/>
      <c r="FN10" s="825"/>
      <c r="FO10" s="825"/>
      <c r="FP10" s="825"/>
      <c r="FQ10" s="825"/>
      <c r="FR10" s="825"/>
      <c r="FS10" s="825"/>
      <c r="FT10" s="825"/>
      <c r="FU10" s="825"/>
      <c r="FV10" s="825"/>
      <c r="FW10" s="825"/>
      <c r="FX10" s="825"/>
      <c r="FY10" s="825"/>
      <c r="FZ10" s="825"/>
      <c r="GA10" s="825"/>
      <c r="GB10" s="825"/>
      <c r="GC10" s="825"/>
      <c r="GD10" s="825"/>
      <c r="GE10" s="825"/>
      <c r="GF10" s="825"/>
      <c r="GG10" s="825"/>
      <c r="GH10" s="825"/>
      <c r="GI10" s="825"/>
      <c r="GJ10" s="825"/>
      <c r="GK10" s="825"/>
      <c r="GL10" s="825"/>
      <c r="GM10" s="825"/>
      <c r="GN10" s="825"/>
      <c r="GO10" s="825"/>
      <c r="GP10" s="825"/>
      <c r="GQ10" s="825"/>
      <c r="GR10" s="825"/>
      <c r="GS10" s="825"/>
      <c r="GT10" s="825"/>
      <c r="GU10" s="825"/>
      <c r="GV10" s="825"/>
      <c r="GW10" s="825"/>
      <c r="GX10" s="825"/>
      <c r="GY10" s="825"/>
      <c r="GZ10" s="825"/>
      <c r="HA10" s="825"/>
      <c r="HB10" s="825"/>
      <c r="HC10" s="825"/>
      <c r="HD10" s="825"/>
      <c r="HE10" s="825"/>
      <c r="HF10" s="825"/>
      <c r="HG10" s="825"/>
      <c r="HH10" s="825"/>
      <c r="HI10" s="825"/>
      <c r="HJ10" s="825"/>
      <c r="HK10" s="825"/>
      <c r="HL10" s="825"/>
      <c r="HM10" s="825"/>
      <c r="HN10" s="825"/>
      <c r="HO10" s="825"/>
      <c r="HP10" s="825"/>
      <c r="HQ10" s="825"/>
      <c r="HR10" s="825"/>
      <c r="HS10" s="825"/>
      <c r="HT10" s="825"/>
      <c r="HU10" s="825"/>
      <c r="HV10" s="825"/>
      <c r="HW10" s="825"/>
      <c r="HX10" s="825"/>
      <c r="HY10" s="825"/>
      <c r="HZ10" s="825"/>
      <c r="IA10" s="825"/>
      <c r="IB10" s="825"/>
      <c r="IC10" s="825"/>
      <c r="ID10" s="825"/>
      <c r="IE10" s="825"/>
      <c r="IF10" s="825"/>
      <c r="IG10" s="825"/>
      <c r="IH10" s="825"/>
      <c r="II10" s="825"/>
      <c r="IJ10" s="825"/>
      <c r="IK10" s="825"/>
      <c r="IL10" s="825"/>
      <c r="IM10" s="825"/>
      <c r="IN10" s="825"/>
      <c r="IO10" s="825"/>
      <c r="IP10" s="825"/>
      <c r="IQ10" s="825"/>
      <c r="IR10" s="825"/>
      <c r="IS10" s="825"/>
      <c r="IT10" s="825"/>
      <c r="IU10" s="825"/>
      <c r="IV10" s="825"/>
      <c r="IW10" s="825"/>
      <c r="IX10" s="825"/>
      <c r="IY10" s="825"/>
      <c r="IZ10" s="825"/>
    </row>
    <row r="11" spans="1:260" ht="16.5" customHeight="1">
      <c r="B11" s="1069" t="s">
        <v>653</v>
      </c>
      <c r="C11" s="1070" t="s">
        <v>764</v>
      </c>
      <c r="D11" s="1071">
        <f>160*0.2382</f>
        <v>38.112000000000002</v>
      </c>
      <c r="F11" s="1069" t="s">
        <v>653</v>
      </c>
      <c r="G11" s="1070" t="str">
        <f>$C$11</f>
        <v>.3466 x 160</v>
      </c>
      <c r="H11" s="1071">
        <f>$D$11</f>
        <v>38.112000000000002</v>
      </c>
      <c r="I11" s="1072"/>
      <c r="J11" s="1069" t="s">
        <v>653</v>
      </c>
      <c r="K11" s="1070" t="str">
        <f>$C$11</f>
        <v>.3466 x 160</v>
      </c>
      <c r="L11" s="1071">
        <f>$D$11</f>
        <v>38.112000000000002</v>
      </c>
      <c r="M11" s="1072"/>
      <c r="N11" s="1069" t="s">
        <v>653</v>
      </c>
      <c r="O11" s="1070" t="str">
        <f>$C$11</f>
        <v>.3466 x 160</v>
      </c>
      <c r="P11" s="1071">
        <f>$D$11</f>
        <v>38.112000000000002</v>
      </c>
    </row>
    <row r="12" spans="1:260" ht="16.5" customHeight="1">
      <c r="B12" s="1069" t="s">
        <v>725</v>
      </c>
      <c r="C12" s="1070">
        <v>1.5E-3</v>
      </c>
      <c r="D12" s="1065">
        <f t="shared" ref="D12" si="4">$C$1*C12</f>
        <v>7.5</v>
      </c>
      <c r="F12" s="1069" t="s">
        <v>725</v>
      </c>
      <c r="G12" s="1070">
        <v>1.5E-3</v>
      </c>
      <c r="H12" s="1071">
        <f>$C$1*G12</f>
        <v>7.5</v>
      </c>
      <c r="I12" s="1072"/>
      <c r="J12" s="1069" t="s">
        <v>725</v>
      </c>
      <c r="K12" s="1070">
        <v>1.5E-3</v>
      </c>
      <c r="L12" s="1071">
        <f>$C$1*K12</f>
        <v>7.5</v>
      </c>
      <c r="M12" s="1072"/>
      <c r="N12" s="1069" t="s">
        <v>725</v>
      </c>
      <c r="O12" s="1070">
        <v>1.5E-3</v>
      </c>
      <c r="P12" s="1071">
        <f>$C$1*O12</f>
        <v>7.5</v>
      </c>
    </row>
    <row r="13" spans="1:260" ht="16.5" customHeight="1">
      <c r="B13" s="1073" t="s">
        <v>357</v>
      </c>
      <c r="C13" s="1074"/>
      <c r="D13" s="1168">
        <f>'FY24 DRAFT BEN MODEL'!D23</f>
        <v>1145</v>
      </c>
      <c r="F13" s="1073" t="s">
        <v>357</v>
      </c>
      <c r="G13" s="1074"/>
      <c r="H13" s="1075">
        <f>$D$13</f>
        <v>1145</v>
      </c>
      <c r="I13" s="1076"/>
      <c r="J13" s="1073" t="s">
        <v>357</v>
      </c>
      <c r="K13" s="1074"/>
      <c r="L13" s="1075">
        <f>$D$13</f>
        <v>1145</v>
      </c>
      <c r="M13" s="1076"/>
      <c r="N13" s="1073" t="s">
        <v>357</v>
      </c>
      <c r="O13" s="1074"/>
      <c r="P13" s="1075">
        <f>$D$13</f>
        <v>1145</v>
      </c>
    </row>
    <row r="14" spans="1:260" ht="16.5" customHeight="1">
      <c r="B14" s="1077" t="s">
        <v>237</v>
      </c>
      <c r="C14" s="1058"/>
      <c r="D14" s="1062">
        <f>SUM(D7:D13)</f>
        <v>2051.6120000000001</v>
      </c>
      <c r="F14" s="1077" t="s">
        <v>237</v>
      </c>
      <c r="G14" s="1058"/>
      <c r="H14" s="1062">
        <f>SUM(H7:H13)</f>
        <v>1832.1120000000001</v>
      </c>
      <c r="I14" s="1063"/>
      <c r="J14" s="1077" t="s">
        <v>237</v>
      </c>
      <c r="K14" s="1058"/>
      <c r="L14" s="1062">
        <f>SUM(L7:L13)</f>
        <v>1832.1120000000001</v>
      </c>
      <c r="M14" s="1063"/>
      <c r="N14" s="1077" t="s">
        <v>237</v>
      </c>
      <c r="O14" s="1058"/>
      <c r="P14" s="1062">
        <f>SUM(P7:P13)</f>
        <v>1622.1120000000001</v>
      </c>
    </row>
    <row r="15" spans="1:260" ht="16.5" customHeight="1">
      <c r="B15" s="1064"/>
      <c r="C15" s="1055"/>
      <c r="D15" s="1078"/>
      <c r="F15" s="1064"/>
      <c r="G15" s="1055"/>
      <c r="H15" s="1078"/>
      <c r="I15" s="1079"/>
      <c r="J15" s="1064"/>
      <c r="K15" s="1055"/>
      <c r="L15" s="1078"/>
      <c r="M15" s="1079"/>
      <c r="N15" s="1064"/>
      <c r="O15" s="1055"/>
      <c r="P15" s="1078"/>
    </row>
    <row r="16" spans="1:260" ht="16.5" customHeight="1" thickBot="1">
      <c r="B16" s="1080" t="s">
        <v>343</v>
      </c>
      <c r="C16" s="1081"/>
      <c r="D16" s="1082">
        <f>SUM(D14/$C$1)</f>
        <v>0.41032240000000003</v>
      </c>
      <c r="F16" s="1080" t="s">
        <v>343</v>
      </c>
      <c r="G16" s="1081"/>
      <c r="H16" s="1082">
        <f>SUM(H14/$C$1)</f>
        <v>0.36642240000000004</v>
      </c>
      <c r="I16" s="1083"/>
      <c r="J16" s="1080" t="s">
        <v>343</v>
      </c>
      <c r="K16" s="1081"/>
      <c r="L16" s="1082">
        <f>SUM(L14/$C$1)</f>
        <v>0.36642240000000004</v>
      </c>
      <c r="M16" s="1083"/>
      <c r="N16" s="1080" t="s">
        <v>343</v>
      </c>
      <c r="O16" s="1081"/>
      <c r="P16" s="1082">
        <f>SUM(P14/$C$1)</f>
        <v>0.3244224</v>
      </c>
    </row>
    <row r="17" spans="2:260" ht="16.5" customHeight="1" thickBot="1">
      <c r="F17" s="1084" t="s">
        <v>648</v>
      </c>
      <c r="G17" s="1085">
        <f>$C$7</f>
        <v>6.2E-2</v>
      </c>
      <c r="H17" s="1086">
        <f>$C$1*G17</f>
        <v>310</v>
      </c>
      <c r="I17" s="1063"/>
      <c r="J17" s="1087" t="s">
        <v>648</v>
      </c>
      <c r="K17" s="1055">
        <f>$C$7</f>
        <v>6.2E-2</v>
      </c>
      <c r="L17" s="854">
        <f>$C$1*K17</f>
        <v>310</v>
      </c>
      <c r="M17" s="1063"/>
      <c r="N17" s="1084" t="s">
        <v>648</v>
      </c>
      <c r="O17" s="1085">
        <f>$C$7</f>
        <v>6.2E-2</v>
      </c>
      <c r="P17" s="1086">
        <f>$C$1*O17</f>
        <v>310</v>
      </c>
    </row>
    <row r="18" spans="2:260" ht="16.5" customHeight="1">
      <c r="B18" s="1459" t="s">
        <v>654</v>
      </c>
      <c r="C18" s="1448"/>
      <c r="D18" s="1460"/>
      <c r="F18" s="1064" t="s">
        <v>649</v>
      </c>
      <c r="G18" s="1055">
        <f>$C$8</f>
        <v>1.4500000000000001E-2</v>
      </c>
      <c r="H18" s="1065">
        <f t="shared" ref="H18:H20" si="5">$C$1*G18</f>
        <v>72.5</v>
      </c>
      <c r="I18" s="1063"/>
      <c r="J18" s="838" t="s">
        <v>649</v>
      </c>
      <c r="K18" s="1055">
        <f>$C$8</f>
        <v>1.4500000000000001E-2</v>
      </c>
      <c r="L18" s="854">
        <f t="shared" ref="L18:L20" si="6">$C$1*K18</f>
        <v>72.5</v>
      </c>
      <c r="M18" s="1063"/>
      <c r="N18" s="1064" t="s">
        <v>649</v>
      </c>
      <c r="O18" s="1055">
        <f>$C$8</f>
        <v>1.4500000000000001E-2</v>
      </c>
      <c r="P18" s="1065">
        <f t="shared" ref="P18:P22" si="7">$C$1*O18</f>
        <v>72.5</v>
      </c>
    </row>
    <row r="19" spans="2:260" ht="16.5" customHeight="1">
      <c r="B19" s="1461"/>
      <c r="C19" s="1462"/>
      <c r="D19" s="1463"/>
      <c r="F19" s="1066" t="s">
        <v>660</v>
      </c>
      <c r="G19" s="1099">
        <f>'FY24 DRAFT BEN MODEL'!D11</f>
        <v>7.4999999999999997E-2</v>
      </c>
      <c r="H19" s="1065">
        <f t="shared" si="5"/>
        <v>375</v>
      </c>
      <c r="I19" s="1063"/>
      <c r="J19" s="1066" t="s">
        <v>660</v>
      </c>
      <c r="K19" s="1099">
        <f>G19</f>
        <v>7.4999999999999997E-2</v>
      </c>
      <c r="L19" s="854">
        <f t="shared" si="6"/>
        <v>375</v>
      </c>
      <c r="M19" s="1063"/>
      <c r="N19" s="1066" t="s">
        <v>655</v>
      </c>
      <c r="O19" s="1055">
        <v>0.13700000000000001</v>
      </c>
      <c r="P19" s="1065">
        <f t="shared" si="7"/>
        <v>685</v>
      </c>
      <c r="Q19" s="871"/>
      <c r="R19" s="871"/>
      <c r="S19" s="871"/>
      <c r="T19" s="871"/>
      <c r="U19" s="871"/>
      <c r="V19" s="871"/>
      <c r="W19" s="871"/>
      <c r="X19" s="871"/>
      <c r="Y19" s="871"/>
      <c r="Z19" s="871"/>
      <c r="AA19" s="871"/>
      <c r="AB19" s="871"/>
      <c r="AC19" s="871"/>
      <c r="AD19" s="871"/>
      <c r="AE19" s="871"/>
      <c r="AF19" s="871"/>
      <c r="AG19" s="871"/>
      <c r="AH19" s="871"/>
      <c r="AI19" s="871"/>
      <c r="AJ19" s="871"/>
      <c r="AK19" s="871"/>
      <c r="AL19" s="871"/>
      <c r="AM19" s="871"/>
      <c r="AN19" s="871"/>
      <c r="AO19" s="871"/>
      <c r="AP19" s="871"/>
      <c r="AQ19" s="871"/>
      <c r="AR19" s="871"/>
      <c r="AS19" s="871"/>
      <c r="AT19" s="871"/>
      <c r="AU19" s="871"/>
      <c r="AV19" s="871"/>
      <c r="AW19" s="871"/>
      <c r="AX19" s="871"/>
      <c r="AY19" s="871"/>
      <c r="AZ19" s="871"/>
      <c r="BA19" s="871"/>
      <c r="BB19" s="871"/>
      <c r="BC19" s="871"/>
      <c r="BD19" s="871"/>
      <c r="BE19" s="871"/>
      <c r="BF19" s="871"/>
      <c r="BG19" s="871"/>
      <c r="BH19" s="871"/>
      <c r="BI19" s="871"/>
      <c r="BJ19" s="871"/>
      <c r="BK19" s="871"/>
      <c r="BL19" s="871"/>
      <c r="BM19" s="871"/>
      <c r="BN19" s="871"/>
      <c r="BO19" s="871"/>
      <c r="BP19" s="871"/>
      <c r="BQ19" s="871"/>
      <c r="BR19" s="871"/>
      <c r="BS19" s="871"/>
      <c r="BT19" s="871"/>
      <c r="BU19" s="871"/>
      <c r="BV19" s="871"/>
      <c r="BW19" s="871"/>
      <c r="BX19" s="871"/>
      <c r="BY19" s="871"/>
      <c r="BZ19" s="871"/>
      <c r="CA19" s="871"/>
      <c r="CB19" s="871"/>
      <c r="CC19" s="871"/>
      <c r="CD19" s="871"/>
      <c r="CE19" s="871"/>
      <c r="CF19" s="871"/>
      <c r="CG19" s="871"/>
      <c r="CH19" s="871"/>
      <c r="CI19" s="871"/>
      <c r="CJ19" s="871"/>
      <c r="CK19" s="871"/>
      <c r="CL19" s="871"/>
      <c r="CM19" s="871"/>
      <c r="CN19" s="871"/>
      <c r="CO19" s="871"/>
      <c r="CP19" s="871"/>
      <c r="CQ19" s="871"/>
      <c r="CR19" s="871"/>
      <c r="CS19" s="871"/>
      <c r="CT19" s="871"/>
      <c r="CU19" s="871"/>
      <c r="CV19" s="871"/>
      <c r="CW19" s="871"/>
      <c r="CX19" s="871"/>
      <c r="CY19" s="871"/>
      <c r="CZ19" s="871"/>
      <c r="DA19" s="871"/>
      <c r="DB19" s="871"/>
      <c r="DC19" s="871"/>
      <c r="DD19" s="871"/>
      <c r="DE19" s="871"/>
      <c r="DF19" s="871"/>
      <c r="DG19" s="871"/>
      <c r="DH19" s="871"/>
      <c r="DI19" s="871"/>
      <c r="DJ19" s="871"/>
      <c r="DK19" s="871"/>
      <c r="DL19" s="871"/>
      <c r="DM19" s="871"/>
      <c r="DN19" s="871"/>
      <c r="DO19" s="871"/>
      <c r="DP19" s="871"/>
      <c r="DQ19" s="871"/>
      <c r="DR19" s="871"/>
      <c r="DS19" s="871"/>
      <c r="DT19" s="871"/>
      <c r="DU19" s="871"/>
      <c r="DV19" s="871"/>
      <c r="DW19" s="871"/>
      <c r="DX19" s="871"/>
      <c r="DY19" s="871"/>
      <c r="DZ19" s="871"/>
      <c r="EA19" s="871"/>
      <c r="EB19" s="871"/>
      <c r="EC19" s="871"/>
      <c r="ED19" s="871"/>
      <c r="EE19" s="871"/>
      <c r="EF19" s="871"/>
      <c r="EG19" s="871"/>
      <c r="EH19" s="871"/>
      <c r="EI19" s="871"/>
      <c r="EJ19" s="871"/>
      <c r="EK19" s="871"/>
      <c r="EL19" s="871"/>
      <c r="EM19" s="871"/>
      <c r="EN19" s="871"/>
      <c r="EO19" s="871"/>
      <c r="EP19" s="871"/>
      <c r="EQ19" s="871"/>
      <c r="ER19" s="871"/>
      <c r="ES19" s="871"/>
      <c r="ET19" s="871"/>
      <c r="EU19" s="871"/>
      <c r="EV19" s="871"/>
      <c r="EW19" s="871"/>
      <c r="EX19" s="871"/>
      <c r="EY19" s="871"/>
      <c r="EZ19" s="871"/>
      <c r="FA19" s="871"/>
      <c r="FB19" s="871"/>
      <c r="FC19" s="871"/>
      <c r="FD19" s="871"/>
      <c r="FE19" s="871"/>
      <c r="FF19" s="871"/>
      <c r="FG19" s="871"/>
      <c r="FH19" s="871"/>
      <c r="FI19" s="871"/>
      <c r="FJ19" s="871"/>
      <c r="FK19" s="871"/>
      <c r="FL19" s="871"/>
      <c r="FM19" s="871"/>
      <c r="FN19" s="871"/>
      <c r="FO19" s="871"/>
      <c r="FP19" s="871"/>
      <c r="FQ19" s="871"/>
      <c r="FR19" s="871"/>
      <c r="FS19" s="871"/>
      <c r="FT19" s="871"/>
      <c r="FU19" s="871"/>
      <c r="FV19" s="871"/>
      <c r="FW19" s="871"/>
      <c r="FX19" s="871"/>
      <c r="FY19" s="871"/>
      <c r="FZ19" s="871"/>
      <c r="GA19" s="871"/>
      <c r="GB19" s="871"/>
      <c r="GC19" s="871"/>
      <c r="GD19" s="871"/>
      <c r="GE19" s="871"/>
      <c r="GF19" s="871"/>
      <c r="GG19" s="871"/>
      <c r="GH19" s="871"/>
      <c r="GI19" s="871"/>
      <c r="GJ19" s="871"/>
      <c r="GK19" s="871"/>
      <c r="GL19" s="871"/>
      <c r="GM19" s="871"/>
      <c r="GN19" s="871"/>
      <c r="GO19" s="871"/>
      <c r="GP19" s="871"/>
      <c r="GQ19" s="871"/>
      <c r="GR19" s="871"/>
      <c r="GS19" s="871"/>
      <c r="GT19" s="871"/>
      <c r="GU19" s="871"/>
      <c r="GV19" s="871"/>
      <c r="GW19" s="871"/>
      <c r="GX19" s="871"/>
      <c r="GY19" s="871"/>
      <c r="GZ19" s="871"/>
      <c r="HA19" s="871"/>
      <c r="HB19" s="871"/>
      <c r="HC19" s="871"/>
      <c r="HD19" s="871"/>
      <c r="HE19" s="871"/>
      <c r="HF19" s="871"/>
      <c r="HG19" s="871"/>
      <c r="HH19" s="871"/>
      <c r="HI19" s="871"/>
      <c r="HJ19" s="871"/>
      <c r="HK19" s="871"/>
      <c r="HL19" s="871"/>
      <c r="HM19" s="871"/>
      <c r="HN19" s="871"/>
      <c r="HO19" s="871"/>
      <c r="HP19" s="871"/>
      <c r="HQ19" s="871"/>
      <c r="HR19" s="871"/>
      <c r="HS19" s="871"/>
      <c r="HT19" s="871"/>
      <c r="HU19" s="871"/>
      <c r="HV19" s="871"/>
      <c r="HW19" s="871"/>
      <c r="HX19" s="871"/>
      <c r="HY19" s="871"/>
      <c r="HZ19" s="871"/>
      <c r="IA19" s="871"/>
      <c r="IB19" s="871"/>
      <c r="IC19" s="871"/>
      <c r="ID19" s="871"/>
      <c r="IE19" s="871"/>
      <c r="IF19" s="871"/>
      <c r="IG19" s="871"/>
      <c r="IH19" s="871"/>
      <c r="II19" s="871"/>
      <c r="IJ19" s="871"/>
      <c r="IK19" s="871"/>
      <c r="IL19" s="871"/>
      <c r="IM19" s="871"/>
      <c r="IN19" s="871"/>
      <c r="IO19" s="871"/>
      <c r="IP19" s="871"/>
      <c r="IQ19" s="871"/>
      <c r="IR19" s="871"/>
      <c r="IS19" s="871"/>
      <c r="IT19" s="871"/>
      <c r="IU19" s="871"/>
      <c r="IV19" s="871"/>
      <c r="IW19" s="871"/>
      <c r="IX19" s="871"/>
      <c r="IY19" s="871"/>
      <c r="IZ19" s="871"/>
    </row>
    <row r="20" spans="2:260" s="1088" customFormat="1" ht="16.5" customHeight="1">
      <c r="B20" s="1461"/>
      <c r="C20" s="1462"/>
      <c r="D20" s="1463"/>
      <c r="F20" s="1064" t="s">
        <v>652</v>
      </c>
      <c r="G20" s="1068">
        <f>$C$10</f>
        <v>1.8E-3</v>
      </c>
      <c r="H20" s="1065">
        <f t="shared" si="5"/>
        <v>9</v>
      </c>
      <c r="I20" s="1063"/>
      <c r="J20" s="838" t="s">
        <v>652</v>
      </c>
      <c r="K20" s="1068">
        <f>$C$10</f>
        <v>1.8E-3</v>
      </c>
      <c r="L20" s="854">
        <f t="shared" si="6"/>
        <v>9</v>
      </c>
      <c r="M20" s="1063"/>
      <c r="N20" s="1089" t="s">
        <v>656</v>
      </c>
      <c r="O20" s="1055">
        <v>0.05</v>
      </c>
      <c r="P20" s="1065">
        <f t="shared" si="7"/>
        <v>250</v>
      </c>
      <c r="Q20" s="825"/>
      <c r="R20" s="825"/>
      <c r="S20" s="825"/>
      <c r="T20" s="825"/>
      <c r="U20" s="825"/>
      <c r="V20" s="825"/>
      <c r="W20" s="825"/>
      <c r="X20" s="825"/>
      <c r="Y20" s="825"/>
      <c r="Z20" s="825"/>
      <c r="AA20" s="825"/>
      <c r="AB20" s="825"/>
      <c r="AC20" s="825"/>
      <c r="AD20" s="825"/>
      <c r="AE20" s="825"/>
      <c r="AF20" s="825"/>
      <c r="AG20" s="825"/>
      <c r="AH20" s="825"/>
      <c r="AI20" s="825"/>
      <c r="AJ20" s="825"/>
      <c r="AK20" s="825"/>
      <c r="AL20" s="825"/>
      <c r="AM20" s="825"/>
      <c r="AN20" s="825"/>
      <c r="AO20" s="825"/>
      <c r="AP20" s="825"/>
      <c r="AQ20" s="825"/>
      <c r="AR20" s="825"/>
      <c r="AS20" s="825"/>
      <c r="AT20" s="825"/>
      <c r="AU20" s="825"/>
      <c r="AV20" s="825"/>
      <c r="AW20" s="825"/>
      <c r="AX20" s="825"/>
      <c r="AY20" s="825"/>
      <c r="AZ20" s="825"/>
      <c r="BA20" s="825"/>
      <c r="BB20" s="825"/>
      <c r="BC20" s="825"/>
      <c r="BD20" s="825"/>
      <c r="BE20" s="825"/>
      <c r="BF20" s="825"/>
      <c r="BG20" s="825"/>
      <c r="BH20" s="825"/>
      <c r="BI20" s="825"/>
      <c r="BJ20" s="825"/>
      <c r="BK20" s="825"/>
      <c r="BL20" s="825"/>
      <c r="BM20" s="825"/>
      <c r="BN20" s="825"/>
      <c r="BO20" s="825"/>
      <c r="BP20" s="825"/>
      <c r="BQ20" s="825"/>
      <c r="BR20" s="825"/>
      <c r="BS20" s="825"/>
      <c r="BT20" s="825"/>
      <c r="BU20" s="825"/>
      <c r="BV20" s="825"/>
      <c r="BW20" s="825"/>
      <c r="BX20" s="825"/>
      <c r="BY20" s="825"/>
      <c r="BZ20" s="825"/>
      <c r="CA20" s="825"/>
      <c r="CB20" s="825"/>
      <c r="CC20" s="825"/>
      <c r="CD20" s="825"/>
      <c r="CE20" s="825"/>
      <c r="CF20" s="825"/>
      <c r="CG20" s="825"/>
      <c r="CH20" s="825"/>
      <c r="CI20" s="825"/>
      <c r="CJ20" s="825"/>
      <c r="CK20" s="825"/>
      <c r="CL20" s="825"/>
      <c r="CM20" s="825"/>
      <c r="CN20" s="825"/>
      <c r="CO20" s="825"/>
      <c r="CP20" s="825"/>
      <c r="CQ20" s="825"/>
      <c r="CR20" s="825"/>
      <c r="CS20" s="825"/>
      <c r="CT20" s="825"/>
      <c r="CU20" s="825"/>
      <c r="CV20" s="825"/>
      <c r="CW20" s="825"/>
      <c r="CX20" s="825"/>
      <c r="CY20" s="825"/>
      <c r="CZ20" s="825"/>
      <c r="DA20" s="825"/>
      <c r="DB20" s="825"/>
      <c r="DC20" s="825"/>
      <c r="DD20" s="825"/>
      <c r="DE20" s="825"/>
      <c r="DF20" s="825"/>
      <c r="DG20" s="825"/>
      <c r="DH20" s="825"/>
      <c r="DI20" s="825"/>
      <c r="DJ20" s="825"/>
      <c r="DK20" s="825"/>
      <c r="DL20" s="825"/>
      <c r="DM20" s="825"/>
      <c r="DN20" s="825"/>
      <c r="DO20" s="825"/>
      <c r="DP20" s="825"/>
      <c r="DQ20" s="825"/>
      <c r="DR20" s="825"/>
      <c r="DS20" s="825"/>
      <c r="DT20" s="825"/>
      <c r="DU20" s="825"/>
      <c r="DV20" s="825"/>
      <c r="DW20" s="825"/>
      <c r="DX20" s="825"/>
      <c r="DY20" s="825"/>
      <c r="DZ20" s="825"/>
      <c r="EA20" s="825"/>
      <c r="EB20" s="825"/>
      <c r="EC20" s="825"/>
      <c r="ED20" s="825"/>
      <c r="EE20" s="825"/>
      <c r="EF20" s="825"/>
      <c r="EG20" s="825"/>
      <c r="EH20" s="825"/>
      <c r="EI20" s="825"/>
      <c r="EJ20" s="825"/>
      <c r="EK20" s="825"/>
      <c r="EL20" s="825"/>
      <c r="EM20" s="825"/>
      <c r="EN20" s="825"/>
      <c r="EO20" s="825"/>
      <c r="EP20" s="825"/>
      <c r="EQ20" s="825"/>
      <c r="ER20" s="825"/>
      <c r="ES20" s="825"/>
      <c r="ET20" s="825"/>
      <c r="EU20" s="825"/>
      <c r="EV20" s="825"/>
      <c r="EW20" s="825"/>
      <c r="EX20" s="825"/>
      <c r="EY20" s="825"/>
      <c r="EZ20" s="825"/>
      <c r="FA20" s="825"/>
      <c r="FB20" s="825"/>
      <c r="FC20" s="825"/>
      <c r="FD20" s="825"/>
      <c r="FE20" s="825"/>
      <c r="FF20" s="825"/>
      <c r="FG20" s="825"/>
      <c r="FH20" s="825"/>
      <c r="FI20" s="825"/>
      <c r="FJ20" s="825"/>
      <c r="FK20" s="825"/>
      <c r="FL20" s="825"/>
      <c r="FM20" s="825"/>
      <c r="FN20" s="825"/>
      <c r="FO20" s="825"/>
      <c r="FP20" s="825"/>
      <c r="FQ20" s="825"/>
      <c r="FR20" s="825"/>
      <c r="FS20" s="825"/>
      <c r="FT20" s="825"/>
      <c r="FU20" s="825"/>
      <c r="FV20" s="825"/>
      <c r="FW20" s="825"/>
      <c r="FX20" s="825"/>
      <c r="FY20" s="825"/>
      <c r="FZ20" s="825"/>
      <c r="GA20" s="825"/>
      <c r="GB20" s="825"/>
      <c r="GC20" s="825"/>
      <c r="GD20" s="825"/>
      <c r="GE20" s="825"/>
      <c r="GF20" s="825"/>
      <c r="GG20" s="825"/>
      <c r="GH20" s="825"/>
      <c r="GI20" s="825"/>
      <c r="GJ20" s="825"/>
      <c r="GK20" s="825"/>
      <c r="GL20" s="825"/>
      <c r="GM20" s="825"/>
      <c r="GN20" s="825"/>
      <c r="GO20" s="825"/>
      <c r="GP20" s="825"/>
      <c r="GQ20" s="825"/>
      <c r="GR20" s="825"/>
      <c r="GS20" s="825"/>
      <c r="GT20" s="825"/>
      <c r="GU20" s="825"/>
      <c r="GV20" s="825"/>
      <c r="GW20" s="825"/>
      <c r="GX20" s="825"/>
      <c r="GY20" s="825"/>
      <c r="GZ20" s="825"/>
      <c r="HA20" s="825"/>
      <c r="HB20" s="825"/>
      <c r="HC20" s="825"/>
      <c r="HD20" s="825"/>
      <c r="HE20" s="825"/>
      <c r="HF20" s="825"/>
      <c r="HG20" s="825"/>
      <c r="HH20" s="825"/>
      <c r="HI20" s="825"/>
      <c r="HJ20" s="825"/>
      <c r="HK20" s="825"/>
      <c r="HL20" s="825"/>
      <c r="HM20" s="825"/>
      <c r="HN20" s="825"/>
      <c r="HO20" s="825"/>
      <c r="HP20" s="825"/>
      <c r="HQ20" s="825"/>
      <c r="HR20" s="825"/>
      <c r="HS20" s="825"/>
      <c r="HT20" s="825"/>
      <c r="HU20" s="825"/>
      <c r="HV20" s="825"/>
      <c r="HW20" s="825"/>
      <c r="HX20" s="825"/>
      <c r="HY20" s="825"/>
      <c r="HZ20" s="825"/>
      <c r="IA20" s="825"/>
      <c r="IB20" s="825"/>
      <c r="IC20" s="825"/>
      <c r="ID20" s="825"/>
      <c r="IE20" s="825"/>
      <c r="IF20" s="825"/>
      <c r="IG20" s="825"/>
      <c r="IH20" s="825"/>
      <c r="II20" s="825"/>
      <c r="IJ20" s="825"/>
      <c r="IK20" s="825"/>
      <c r="IL20" s="825"/>
      <c r="IM20" s="825"/>
      <c r="IN20" s="825"/>
      <c r="IO20" s="825"/>
      <c r="IP20" s="825"/>
      <c r="IQ20" s="825"/>
      <c r="IR20" s="825"/>
      <c r="IS20" s="825"/>
      <c r="IT20" s="825"/>
      <c r="IU20" s="825"/>
      <c r="IV20" s="825"/>
      <c r="IW20" s="825"/>
      <c r="IX20" s="825"/>
      <c r="IY20" s="825"/>
      <c r="IZ20" s="825"/>
    </row>
    <row r="21" spans="2:260" s="1088" customFormat="1" ht="16.5" customHeight="1">
      <c r="B21" s="1461"/>
      <c r="C21" s="1462"/>
      <c r="D21" s="1463"/>
      <c r="F21" s="1069" t="s">
        <v>725</v>
      </c>
      <c r="G21" s="1070">
        <v>1.5E-3</v>
      </c>
      <c r="H21" s="1071">
        <f>$C$1*G21</f>
        <v>7.5</v>
      </c>
      <c r="I21" s="1063"/>
      <c r="J21" s="1069" t="s">
        <v>725</v>
      </c>
      <c r="K21" s="1070">
        <v>1.5E-3</v>
      </c>
      <c r="L21" s="1071">
        <f>$C$1*K21</f>
        <v>7.5</v>
      </c>
      <c r="M21" s="1063"/>
      <c r="N21" s="1069" t="s">
        <v>725</v>
      </c>
      <c r="O21" s="1070">
        <v>1.5E-3</v>
      </c>
      <c r="P21" s="1071">
        <f>$C$1*O21</f>
        <v>7.5</v>
      </c>
      <c r="Q21" s="825"/>
      <c r="R21" s="825"/>
      <c r="S21" s="825"/>
      <c r="T21" s="825"/>
      <c r="U21" s="825"/>
      <c r="V21" s="825"/>
      <c r="W21" s="825"/>
      <c r="X21" s="825"/>
      <c r="Y21" s="825"/>
      <c r="Z21" s="825"/>
      <c r="AA21" s="825"/>
      <c r="AB21" s="825"/>
      <c r="AC21" s="825"/>
      <c r="AD21" s="825"/>
      <c r="AE21" s="825"/>
      <c r="AF21" s="825"/>
      <c r="AG21" s="825"/>
      <c r="AH21" s="825"/>
      <c r="AI21" s="825"/>
      <c r="AJ21" s="825"/>
      <c r="AK21" s="825"/>
      <c r="AL21" s="825"/>
      <c r="AM21" s="825"/>
      <c r="AN21" s="825"/>
      <c r="AO21" s="825"/>
      <c r="AP21" s="825"/>
      <c r="AQ21" s="825"/>
      <c r="AR21" s="825"/>
      <c r="AS21" s="825"/>
      <c r="AT21" s="825"/>
      <c r="AU21" s="825"/>
      <c r="AV21" s="825"/>
      <c r="AW21" s="825"/>
      <c r="AX21" s="825"/>
      <c r="AY21" s="825"/>
      <c r="AZ21" s="825"/>
      <c r="BA21" s="825"/>
      <c r="BB21" s="825"/>
      <c r="BC21" s="825"/>
      <c r="BD21" s="825"/>
      <c r="BE21" s="825"/>
      <c r="BF21" s="825"/>
      <c r="BG21" s="825"/>
      <c r="BH21" s="825"/>
      <c r="BI21" s="825"/>
      <c r="BJ21" s="825"/>
      <c r="BK21" s="825"/>
      <c r="BL21" s="825"/>
      <c r="BM21" s="825"/>
      <c r="BN21" s="825"/>
      <c r="BO21" s="825"/>
      <c r="BP21" s="825"/>
      <c r="BQ21" s="825"/>
      <c r="BR21" s="825"/>
      <c r="BS21" s="825"/>
      <c r="BT21" s="825"/>
      <c r="BU21" s="825"/>
      <c r="BV21" s="825"/>
      <c r="BW21" s="825"/>
      <c r="BX21" s="825"/>
      <c r="BY21" s="825"/>
      <c r="BZ21" s="825"/>
      <c r="CA21" s="825"/>
      <c r="CB21" s="825"/>
      <c r="CC21" s="825"/>
      <c r="CD21" s="825"/>
      <c r="CE21" s="825"/>
      <c r="CF21" s="825"/>
      <c r="CG21" s="825"/>
      <c r="CH21" s="825"/>
      <c r="CI21" s="825"/>
      <c r="CJ21" s="825"/>
      <c r="CK21" s="825"/>
      <c r="CL21" s="825"/>
      <c r="CM21" s="825"/>
      <c r="CN21" s="825"/>
      <c r="CO21" s="825"/>
      <c r="CP21" s="825"/>
      <c r="CQ21" s="825"/>
      <c r="CR21" s="825"/>
      <c r="CS21" s="825"/>
      <c r="CT21" s="825"/>
      <c r="CU21" s="825"/>
      <c r="CV21" s="825"/>
      <c r="CW21" s="825"/>
      <c r="CX21" s="825"/>
      <c r="CY21" s="825"/>
      <c r="CZ21" s="825"/>
      <c r="DA21" s="825"/>
      <c r="DB21" s="825"/>
      <c r="DC21" s="825"/>
      <c r="DD21" s="825"/>
      <c r="DE21" s="825"/>
      <c r="DF21" s="825"/>
      <c r="DG21" s="825"/>
      <c r="DH21" s="825"/>
      <c r="DI21" s="825"/>
      <c r="DJ21" s="825"/>
      <c r="DK21" s="825"/>
      <c r="DL21" s="825"/>
      <c r="DM21" s="825"/>
      <c r="DN21" s="825"/>
      <c r="DO21" s="825"/>
      <c r="DP21" s="825"/>
      <c r="DQ21" s="825"/>
      <c r="DR21" s="825"/>
      <c r="DS21" s="825"/>
      <c r="DT21" s="825"/>
      <c r="DU21" s="825"/>
      <c r="DV21" s="825"/>
      <c r="DW21" s="825"/>
      <c r="DX21" s="825"/>
      <c r="DY21" s="825"/>
      <c r="DZ21" s="825"/>
      <c r="EA21" s="825"/>
      <c r="EB21" s="825"/>
      <c r="EC21" s="825"/>
      <c r="ED21" s="825"/>
      <c r="EE21" s="825"/>
      <c r="EF21" s="825"/>
      <c r="EG21" s="825"/>
      <c r="EH21" s="825"/>
      <c r="EI21" s="825"/>
      <c r="EJ21" s="825"/>
      <c r="EK21" s="825"/>
      <c r="EL21" s="825"/>
      <c r="EM21" s="825"/>
      <c r="EN21" s="825"/>
      <c r="EO21" s="825"/>
      <c r="EP21" s="825"/>
      <c r="EQ21" s="825"/>
      <c r="ER21" s="825"/>
      <c r="ES21" s="825"/>
      <c r="ET21" s="825"/>
      <c r="EU21" s="825"/>
      <c r="EV21" s="825"/>
      <c r="EW21" s="825"/>
      <c r="EX21" s="825"/>
      <c r="EY21" s="825"/>
      <c r="EZ21" s="825"/>
      <c r="FA21" s="825"/>
      <c r="FB21" s="825"/>
      <c r="FC21" s="825"/>
      <c r="FD21" s="825"/>
      <c r="FE21" s="825"/>
      <c r="FF21" s="825"/>
      <c r="FG21" s="825"/>
      <c r="FH21" s="825"/>
      <c r="FI21" s="825"/>
      <c r="FJ21" s="825"/>
      <c r="FK21" s="825"/>
      <c r="FL21" s="825"/>
      <c r="FM21" s="825"/>
      <c r="FN21" s="825"/>
      <c r="FO21" s="825"/>
      <c r="FP21" s="825"/>
      <c r="FQ21" s="825"/>
      <c r="FR21" s="825"/>
      <c r="FS21" s="825"/>
      <c r="FT21" s="825"/>
      <c r="FU21" s="825"/>
      <c r="FV21" s="825"/>
      <c r="FW21" s="825"/>
      <c r="FX21" s="825"/>
      <c r="FY21" s="825"/>
      <c r="FZ21" s="825"/>
      <c r="GA21" s="825"/>
      <c r="GB21" s="825"/>
      <c r="GC21" s="825"/>
      <c r="GD21" s="825"/>
      <c r="GE21" s="825"/>
      <c r="GF21" s="825"/>
      <c r="GG21" s="825"/>
      <c r="GH21" s="825"/>
      <c r="GI21" s="825"/>
      <c r="GJ21" s="825"/>
      <c r="GK21" s="825"/>
      <c r="GL21" s="825"/>
      <c r="GM21" s="825"/>
      <c r="GN21" s="825"/>
      <c r="GO21" s="825"/>
      <c r="GP21" s="825"/>
      <c r="GQ21" s="825"/>
      <c r="GR21" s="825"/>
      <c r="GS21" s="825"/>
      <c r="GT21" s="825"/>
      <c r="GU21" s="825"/>
      <c r="GV21" s="825"/>
      <c r="GW21" s="825"/>
      <c r="GX21" s="825"/>
      <c r="GY21" s="825"/>
      <c r="GZ21" s="825"/>
      <c r="HA21" s="825"/>
      <c r="HB21" s="825"/>
      <c r="HC21" s="825"/>
      <c r="HD21" s="825"/>
      <c r="HE21" s="825"/>
      <c r="HF21" s="825"/>
      <c r="HG21" s="825"/>
      <c r="HH21" s="825"/>
      <c r="HI21" s="825"/>
      <c r="HJ21" s="825"/>
      <c r="HK21" s="825"/>
      <c r="HL21" s="825"/>
      <c r="HM21" s="825"/>
      <c r="HN21" s="825"/>
      <c r="HO21" s="825"/>
      <c r="HP21" s="825"/>
      <c r="HQ21" s="825"/>
      <c r="HR21" s="825"/>
      <c r="HS21" s="825"/>
      <c r="HT21" s="825"/>
      <c r="HU21" s="825"/>
      <c r="HV21" s="825"/>
      <c r="HW21" s="825"/>
      <c r="HX21" s="825"/>
      <c r="HY21" s="825"/>
      <c r="HZ21" s="825"/>
      <c r="IA21" s="825"/>
      <c r="IB21" s="825"/>
      <c r="IC21" s="825"/>
      <c r="ID21" s="825"/>
      <c r="IE21" s="825"/>
      <c r="IF21" s="825"/>
      <c r="IG21" s="825"/>
      <c r="IH21" s="825"/>
      <c r="II21" s="825"/>
      <c r="IJ21" s="825"/>
      <c r="IK21" s="825"/>
      <c r="IL21" s="825"/>
      <c r="IM21" s="825"/>
      <c r="IN21" s="825"/>
      <c r="IO21" s="825"/>
      <c r="IP21" s="825"/>
      <c r="IQ21" s="825"/>
      <c r="IR21" s="825"/>
      <c r="IS21" s="825"/>
      <c r="IT21" s="825"/>
      <c r="IU21" s="825"/>
      <c r="IV21" s="825"/>
      <c r="IW21" s="825"/>
      <c r="IX21" s="825"/>
      <c r="IY21" s="825"/>
      <c r="IZ21" s="825"/>
    </row>
    <row r="22" spans="2:260" ht="16.5" customHeight="1" thickBot="1">
      <c r="B22" s="1464"/>
      <c r="C22" s="1465"/>
      <c r="D22" s="1466"/>
      <c r="F22" s="1069" t="s">
        <v>653</v>
      </c>
      <c r="G22" s="1070" t="str">
        <f>$C$11</f>
        <v>.3466 x 160</v>
      </c>
      <c r="H22" s="1071">
        <f>$D$11</f>
        <v>38.112000000000002</v>
      </c>
      <c r="I22" s="1072"/>
      <c r="J22" s="846" t="s">
        <v>653</v>
      </c>
      <c r="K22" s="1070" t="str">
        <f>$C$11</f>
        <v>.3466 x 160</v>
      </c>
      <c r="L22" s="839">
        <f>$D$11</f>
        <v>38.112000000000002</v>
      </c>
      <c r="M22" s="1072"/>
      <c r="N22" s="1064" t="s">
        <v>652</v>
      </c>
      <c r="O22" s="1068">
        <f>$C$10</f>
        <v>1.8E-3</v>
      </c>
      <c r="P22" s="1065">
        <f t="shared" si="7"/>
        <v>9</v>
      </c>
    </row>
    <row r="23" spans="2:260" ht="16.5" customHeight="1" thickBot="1">
      <c r="B23" s="1450" t="s">
        <v>665</v>
      </c>
      <c r="C23" s="1451"/>
      <c r="D23" s="1452"/>
      <c r="F23" s="1073" t="s">
        <v>357</v>
      </c>
      <c r="G23" s="1074"/>
      <c r="H23" s="1075">
        <f>$D$13</f>
        <v>1145</v>
      </c>
      <c r="I23" s="1076"/>
      <c r="J23" s="860" t="s">
        <v>357</v>
      </c>
      <c r="K23" s="1074"/>
      <c r="L23" s="1075">
        <f>$D$13</f>
        <v>1145</v>
      </c>
      <c r="M23" s="1076"/>
      <c r="N23" s="1069" t="s">
        <v>653</v>
      </c>
      <c r="O23" s="1070" t="str">
        <f>$C$11</f>
        <v>.3466 x 160</v>
      </c>
      <c r="P23" s="1071">
        <f>$D$11</f>
        <v>38.112000000000002</v>
      </c>
    </row>
    <row r="24" spans="2:260" ht="16.5" customHeight="1">
      <c r="B24" s="1069" t="s">
        <v>653</v>
      </c>
      <c r="C24" s="1070" t="s">
        <v>765</v>
      </c>
      <c r="D24" s="1071">
        <v>19.056000000000001</v>
      </c>
      <c r="F24" s="1077" t="s">
        <v>237</v>
      </c>
      <c r="G24" s="1058"/>
      <c r="H24" s="1062">
        <f>SUM(H17:H23)</f>
        <v>1957.1120000000001</v>
      </c>
      <c r="I24" s="1063"/>
      <c r="J24" s="1090" t="s">
        <v>237</v>
      </c>
      <c r="K24" s="1058"/>
      <c r="L24" s="836">
        <f>SUM(L17:L23)</f>
        <v>1957.1120000000001</v>
      </c>
      <c r="M24" s="1063"/>
      <c r="N24" s="1073" t="s">
        <v>357</v>
      </c>
      <c r="O24" s="1074"/>
      <c r="P24" s="1075">
        <f>$D$13</f>
        <v>1145</v>
      </c>
    </row>
    <row r="25" spans="2:260" ht="16.5" customHeight="1" thickBot="1">
      <c r="B25" s="1069" t="s">
        <v>725</v>
      </c>
      <c r="C25" s="1070">
        <v>1.5E-3</v>
      </c>
      <c r="D25" s="1065">
        <f t="shared" ref="D25" si="8">$C$1*C25</f>
        <v>7.5</v>
      </c>
      <c r="F25" s="1064"/>
      <c r="G25" s="1055"/>
      <c r="H25" s="1065"/>
      <c r="I25" s="1063"/>
      <c r="J25" s="838"/>
      <c r="K25" s="1055"/>
      <c r="L25" s="854"/>
      <c r="M25" s="1063"/>
      <c r="N25" s="1180"/>
      <c r="O25" s="1055"/>
      <c r="P25" s="1181"/>
    </row>
    <row r="26" spans="2:260" ht="15" customHeight="1" thickBot="1">
      <c r="B26" s="1073" t="s">
        <v>662</v>
      </c>
      <c r="C26" s="1107" t="s">
        <v>188</v>
      </c>
      <c r="D26" s="1075">
        <f>IF(C26="Fall", D40/4.5,IF(C26="Spring/Summer",D41/7.5,IF(C26="Calendar Year",D42/12)))</f>
        <v>170.25</v>
      </c>
      <c r="F26" s="1064"/>
      <c r="G26" s="1055"/>
      <c r="H26" s="1078"/>
      <c r="I26" s="1079"/>
      <c r="J26" s="838"/>
      <c r="K26" s="1055"/>
      <c r="L26" s="857"/>
      <c r="M26" s="1079"/>
      <c r="N26" s="1077" t="s">
        <v>237</v>
      </c>
      <c r="O26" s="1058"/>
      <c r="P26" s="1062">
        <f>SUM(P17:P24)</f>
        <v>2517.1120000000001</v>
      </c>
    </row>
    <row r="27" spans="2:260" ht="16.5" customHeight="1" thickBot="1">
      <c r="B27" s="1077" t="s">
        <v>237</v>
      </c>
      <c r="C27" s="1055"/>
      <c r="D27" s="1062">
        <f>SUM(D24:D26)</f>
        <v>196.80600000000001</v>
      </c>
      <c r="F27" s="1080" t="s">
        <v>343</v>
      </c>
      <c r="G27" s="1081"/>
      <c r="H27" s="1082">
        <f>SUM(H24/$C$1)</f>
        <v>0.3914224</v>
      </c>
      <c r="I27" s="1083"/>
      <c r="J27" s="848" t="s">
        <v>343</v>
      </c>
      <c r="K27" s="1055"/>
      <c r="L27" s="1091">
        <f>SUM(L24/$C$1)</f>
        <v>0.3914224</v>
      </c>
      <c r="M27" s="1083"/>
      <c r="N27" s="1064"/>
      <c r="O27" s="1055"/>
      <c r="P27" s="1078"/>
    </row>
    <row r="28" spans="2:260" ht="16.5" customHeight="1" thickBot="1">
      <c r="B28" s="1064"/>
      <c r="C28" s="1055"/>
      <c r="D28" s="1078"/>
      <c r="F28" s="1084" t="s">
        <v>648</v>
      </c>
      <c r="G28" s="1085">
        <f>$C$7</f>
        <v>6.2E-2</v>
      </c>
      <c r="H28" s="1086">
        <f>$C$1*G28</f>
        <v>310</v>
      </c>
      <c r="I28" s="1063"/>
      <c r="J28" s="1084" t="s">
        <v>648</v>
      </c>
      <c r="K28" s="1085">
        <f>$C$7</f>
        <v>6.2E-2</v>
      </c>
      <c r="L28" s="1086">
        <f>$C$1*K28</f>
        <v>310</v>
      </c>
      <c r="M28" s="1063"/>
      <c r="N28" s="1080" t="s">
        <v>343</v>
      </c>
      <c r="O28" s="1081"/>
      <c r="P28" s="1082">
        <f>SUM(P26/$C$1)</f>
        <v>0.50342240000000005</v>
      </c>
    </row>
    <row r="29" spans="2:260" ht="16.5" customHeight="1" thickBot="1">
      <c r="B29" s="1080" t="s">
        <v>343</v>
      </c>
      <c r="C29" s="1081"/>
      <c r="D29" s="1082">
        <f>SUM(D27/$C$1)</f>
        <v>3.9361199999999999E-2</v>
      </c>
      <c r="F29" s="1064" t="s">
        <v>649</v>
      </c>
      <c r="G29" s="1055">
        <f>$C$8</f>
        <v>1.4500000000000001E-2</v>
      </c>
      <c r="H29" s="1065">
        <f t="shared" ref="H29:H31" si="9">$C$1*G29</f>
        <v>72.5</v>
      </c>
      <c r="I29" s="1063"/>
      <c r="J29" s="1064" t="s">
        <v>649</v>
      </c>
      <c r="K29" s="1055">
        <f>$C$8</f>
        <v>1.4500000000000001E-2</v>
      </c>
      <c r="L29" s="1065">
        <f t="shared" ref="L29:L31" si="10">$C$1*K29</f>
        <v>72.5</v>
      </c>
      <c r="M29" s="1063"/>
      <c r="N29" s="1448" t="s">
        <v>657</v>
      </c>
      <c r="O29" s="1448"/>
      <c r="P29" s="1448"/>
    </row>
    <row r="30" spans="2:260" ht="16.5" customHeight="1" thickBot="1">
      <c r="B30" s="1450" t="s">
        <v>667</v>
      </c>
      <c r="C30" s="1451"/>
      <c r="D30" s="1452"/>
      <c r="F30" s="1098" t="s">
        <v>661</v>
      </c>
      <c r="G30" s="1099">
        <f>'FY24 DRAFT BEN MODEL'!D12</f>
        <v>0.1</v>
      </c>
      <c r="H30" s="1065">
        <f t="shared" si="9"/>
        <v>500</v>
      </c>
      <c r="I30" s="1063"/>
      <c r="J30" s="1098" t="s">
        <v>661</v>
      </c>
      <c r="K30" s="1099">
        <f>G30</f>
        <v>0.1</v>
      </c>
      <c r="L30" s="1065">
        <f t="shared" si="10"/>
        <v>500</v>
      </c>
      <c r="M30" s="1063"/>
      <c r="N30" s="1449"/>
      <c r="O30" s="1449"/>
      <c r="P30" s="1449"/>
      <c r="Q30" s="871"/>
      <c r="R30" s="871"/>
      <c r="S30" s="871"/>
      <c r="T30" s="871"/>
      <c r="U30" s="871"/>
      <c r="V30" s="871"/>
      <c r="W30" s="871"/>
      <c r="X30" s="871"/>
      <c r="Y30" s="871"/>
      <c r="Z30" s="871"/>
      <c r="AA30" s="871"/>
      <c r="AB30" s="871"/>
      <c r="AC30" s="871"/>
      <c r="AD30" s="871"/>
      <c r="AE30" s="871"/>
      <c r="AF30" s="871"/>
      <c r="AG30" s="871"/>
      <c r="AH30" s="871"/>
      <c r="AI30" s="871"/>
      <c r="AJ30" s="871"/>
      <c r="AK30" s="871"/>
      <c r="AL30" s="871"/>
      <c r="AM30" s="871"/>
      <c r="AN30" s="871"/>
      <c r="AO30" s="871"/>
      <c r="AP30" s="871"/>
      <c r="AQ30" s="871"/>
      <c r="AR30" s="871"/>
      <c r="AS30" s="871"/>
      <c r="AT30" s="871"/>
      <c r="AU30" s="871"/>
      <c r="AV30" s="871"/>
      <c r="AW30" s="871"/>
      <c r="AX30" s="871"/>
      <c r="AY30" s="871"/>
      <c r="AZ30" s="871"/>
      <c r="BA30" s="871"/>
      <c r="BB30" s="871"/>
      <c r="BC30" s="871"/>
      <c r="BD30" s="871"/>
      <c r="BE30" s="871"/>
      <c r="BF30" s="871"/>
      <c r="BG30" s="871"/>
      <c r="BH30" s="871"/>
      <c r="BI30" s="871"/>
      <c r="BJ30" s="871"/>
      <c r="BK30" s="871"/>
      <c r="BL30" s="871"/>
      <c r="BM30" s="871"/>
      <c r="BN30" s="871"/>
      <c r="BO30" s="871"/>
      <c r="BP30" s="871"/>
      <c r="BQ30" s="871"/>
      <c r="BR30" s="871"/>
      <c r="BS30" s="871"/>
      <c r="BT30" s="871"/>
      <c r="BU30" s="871"/>
      <c r="BV30" s="871"/>
      <c r="BW30" s="871"/>
      <c r="BX30" s="871"/>
      <c r="BY30" s="871"/>
      <c r="BZ30" s="871"/>
      <c r="CA30" s="871"/>
      <c r="CB30" s="871"/>
      <c r="CC30" s="871"/>
      <c r="CD30" s="871"/>
      <c r="CE30" s="871"/>
      <c r="CF30" s="871"/>
      <c r="CG30" s="871"/>
      <c r="CH30" s="871"/>
      <c r="CI30" s="871"/>
      <c r="CJ30" s="871"/>
      <c r="CK30" s="871"/>
      <c r="CL30" s="871"/>
      <c r="CM30" s="871"/>
      <c r="CN30" s="871"/>
      <c r="CO30" s="871"/>
      <c r="CP30" s="871"/>
      <c r="CQ30" s="871"/>
      <c r="CR30" s="871"/>
      <c r="CS30" s="871"/>
      <c r="CT30" s="871"/>
      <c r="CU30" s="871"/>
      <c r="CV30" s="871"/>
      <c r="CW30" s="871"/>
      <c r="CX30" s="871"/>
      <c r="CY30" s="871"/>
      <c r="CZ30" s="871"/>
      <c r="DA30" s="871"/>
      <c r="DB30" s="871"/>
      <c r="DC30" s="871"/>
      <c r="DD30" s="871"/>
      <c r="DE30" s="871"/>
      <c r="DF30" s="871"/>
      <c r="DG30" s="871"/>
      <c r="DH30" s="871"/>
      <c r="DI30" s="871"/>
      <c r="DJ30" s="871"/>
      <c r="DK30" s="871"/>
      <c r="DL30" s="871"/>
      <c r="DM30" s="871"/>
      <c r="DN30" s="871"/>
      <c r="DO30" s="871"/>
      <c r="DP30" s="871"/>
      <c r="DQ30" s="871"/>
      <c r="DR30" s="871"/>
      <c r="DS30" s="871"/>
      <c r="DT30" s="871"/>
      <c r="DU30" s="871"/>
      <c r="DV30" s="871"/>
      <c r="DW30" s="871"/>
      <c r="DX30" s="871"/>
      <c r="DY30" s="871"/>
      <c r="DZ30" s="871"/>
      <c r="EA30" s="871"/>
      <c r="EB30" s="871"/>
      <c r="EC30" s="871"/>
      <c r="ED30" s="871"/>
      <c r="EE30" s="871"/>
      <c r="EF30" s="871"/>
      <c r="EG30" s="871"/>
      <c r="EH30" s="871"/>
      <c r="EI30" s="871"/>
      <c r="EJ30" s="871"/>
      <c r="EK30" s="871"/>
      <c r="EL30" s="871"/>
      <c r="EM30" s="871"/>
      <c r="EN30" s="871"/>
      <c r="EO30" s="871"/>
      <c r="EP30" s="871"/>
      <c r="EQ30" s="871"/>
      <c r="ER30" s="871"/>
      <c r="ES30" s="871"/>
      <c r="ET30" s="871"/>
      <c r="EU30" s="871"/>
      <c r="EV30" s="871"/>
      <c r="EW30" s="871"/>
      <c r="EX30" s="871"/>
      <c r="EY30" s="871"/>
      <c r="EZ30" s="871"/>
      <c r="FA30" s="871"/>
      <c r="FB30" s="871"/>
      <c r="FC30" s="871"/>
      <c r="FD30" s="871"/>
      <c r="FE30" s="871"/>
      <c r="FF30" s="871"/>
      <c r="FG30" s="871"/>
      <c r="FH30" s="871"/>
      <c r="FI30" s="871"/>
      <c r="FJ30" s="871"/>
      <c r="FK30" s="871"/>
      <c r="FL30" s="871"/>
      <c r="FM30" s="871"/>
      <c r="FN30" s="871"/>
      <c r="FO30" s="871"/>
      <c r="FP30" s="871"/>
      <c r="FQ30" s="871"/>
      <c r="FR30" s="871"/>
      <c r="FS30" s="871"/>
      <c r="FT30" s="871"/>
      <c r="FU30" s="871"/>
      <c r="FV30" s="871"/>
      <c r="FW30" s="871"/>
      <c r="FX30" s="871"/>
      <c r="FY30" s="871"/>
      <c r="FZ30" s="871"/>
      <c r="GA30" s="871"/>
      <c r="GB30" s="871"/>
      <c r="GC30" s="871"/>
      <c r="GD30" s="871"/>
      <c r="GE30" s="871"/>
      <c r="GF30" s="871"/>
      <c r="GG30" s="871"/>
      <c r="GH30" s="871"/>
      <c r="GI30" s="871"/>
      <c r="GJ30" s="871"/>
      <c r="GK30" s="871"/>
      <c r="GL30" s="871"/>
      <c r="GM30" s="871"/>
      <c r="GN30" s="871"/>
      <c r="GO30" s="871"/>
      <c r="GP30" s="871"/>
      <c r="GQ30" s="871"/>
      <c r="GR30" s="871"/>
      <c r="GS30" s="871"/>
      <c r="GT30" s="871"/>
      <c r="GU30" s="871"/>
      <c r="GV30" s="871"/>
      <c r="GW30" s="871"/>
      <c r="GX30" s="871"/>
      <c r="GY30" s="871"/>
      <c r="GZ30" s="871"/>
      <c r="HA30" s="871"/>
      <c r="HB30" s="871"/>
      <c r="HC30" s="871"/>
      <c r="HD30" s="871"/>
      <c r="HE30" s="871"/>
      <c r="HF30" s="871"/>
      <c r="HG30" s="871"/>
      <c r="HH30" s="871"/>
      <c r="HI30" s="871"/>
      <c r="HJ30" s="871"/>
      <c r="HK30" s="871"/>
      <c r="HL30" s="871"/>
      <c r="HM30" s="871"/>
      <c r="HN30" s="871"/>
      <c r="HO30" s="871"/>
      <c r="HP30" s="871"/>
      <c r="HQ30" s="871"/>
      <c r="HR30" s="871"/>
      <c r="HS30" s="871"/>
      <c r="HT30" s="871"/>
      <c r="HU30" s="871"/>
      <c r="HV30" s="871"/>
      <c r="HW30" s="871"/>
      <c r="HX30" s="871"/>
      <c r="HY30" s="871"/>
      <c r="HZ30" s="871"/>
      <c r="IA30" s="871"/>
      <c r="IB30" s="871"/>
      <c r="IC30" s="871"/>
      <c r="ID30" s="871"/>
      <c r="IE30" s="871"/>
      <c r="IF30" s="871"/>
      <c r="IG30" s="871"/>
      <c r="IH30" s="871"/>
      <c r="II30" s="871"/>
      <c r="IJ30" s="871"/>
      <c r="IK30" s="871"/>
      <c r="IL30" s="871"/>
      <c r="IM30" s="871"/>
      <c r="IN30" s="871"/>
      <c r="IO30" s="871"/>
      <c r="IP30" s="871"/>
      <c r="IQ30" s="871"/>
      <c r="IR30" s="871"/>
      <c r="IS30" s="871"/>
      <c r="IT30" s="871"/>
      <c r="IU30" s="871"/>
      <c r="IV30" s="871"/>
      <c r="IW30" s="871"/>
      <c r="IX30" s="871"/>
      <c r="IY30" s="871"/>
      <c r="IZ30" s="871"/>
    </row>
    <row r="31" spans="2:260" s="1088" customFormat="1" ht="16.5" customHeight="1">
      <c r="B31" s="1069" t="s">
        <v>658</v>
      </c>
      <c r="C31" s="1092">
        <f>'FY24 DRAFT BEN MODEL'!D27</f>
        <v>6148.5</v>
      </c>
      <c r="D31" s="1071">
        <f>C31/4.5</f>
        <v>1366.3333333333333</v>
      </c>
      <c r="F31" s="1064" t="s">
        <v>652</v>
      </c>
      <c r="G31" s="1068">
        <f>$C$10</f>
        <v>1.8E-3</v>
      </c>
      <c r="H31" s="1065">
        <f t="shared" si="9"/>
        <v>9</v>
      </c>
      <c r="I31" s="1063"/>
      <c r="J31" s="1064" t="s">
        <v>652</v>
      </c>
      <c r="K31" s="1068">
        <f>$C$10</f>
        <v>1.8E-3</v>
      </c>
      <c r="L31" s="1065">
        <f t="shared" si="10"/>
        <v>9</v>
      </c>
      <c r="M31" s="1063"/>
      <c r="N31" s="1449"/>
      <c r="O31" s="1449"/>
      <c r="P31" s="1449"/>
      <c r="Q31" s="825"/>
      <c r="R31" s="825"/>
      <c r="S31" s="825"/>
      <c r="T31" s="825"/>
      <c r="U31" s="825"/>
      <c r="V31" s="825"/>
      <c r="W31" s="825"/>
      <c r="X31" s="825"/>
      <c r="Y31" s="825"/>
      <c r="Z31" s="825"/>
      <c r="AA31" s="825"/>
      <c r="AB31" s="825"/>
      <c r="AC31" s="825"/>
      <c r="AD31" s="825"/>
      <c r="AE31" s="825"/>
      <c r="AF31" s="825"/>
      <c r="AG31" s="825"/>
      <c r="AH31" s="825"/>
      <c r="AI31" s="825"/>
      <c r="AJ31" s="825"/>
      <c r="AK31" s="825"/>
      <c r="AL31" s="825"/>
      <c r="AM31" s="825"/>
      <c r="AN31" s="825"/>
      <c r="AO31" s="825"/>
      <c r="AP31" s="825"/>
      <c r="AQ31" s="825"/>
      <c r="AR31" s="825"/>
      <c r="AS31" s="825"/>
      <c r="AT31" s="825"/>
      <c r="AU31" s="825"/>
      <c r="AV31" s="825"/>
      <c r="AW31" s="825"/>
      <c r="AX31" s="825"/>
      <c r="AY31" s="825"/>
      <c r="AZ31" s="825"/>
      <c r="BA31" s="825"/>
      <c r="BB31" s="825"/>
      <c r="BC31" s="825"/>
      <c r="BD31" s="825"/>
      <c r="BE31" s="825"/>
      <c r="BF31" s="825"/>
      <c r="BG31" s="825"/>
      <c r="BH31" s="825"/>
      <c r="BI31" s="825"/>
      <c r="BJ31" s="825"/>
      <c r="BK31" s="825"/>
      <c r="BL31" s="825"/>
      <c r="BM31" s="825"/>
      <c r="BN31" s="825"/>
      <c r="BO31" s="825"/>
      <c r="BP31" s="825"/>
      <c r="BQ31" s="825"/>
      <c r="BR31" s="825"/>
      <c r="BS31" s="825"/>
      <c r="BT31" s="825"/>
      <c r="BU31" s="825"/>
      <c r="BV31" s="825"/>
      <c r="BW31" s="825"/>
      <c r="BX31" s="825"/>
      <c r="BY31" s="825"/>
      <c r="BZ31" s="825"/>
      <c r="CA31" s="825"/>
      <c r="CB31" s="825"/>
      <c r="CC31" s="825"/>
      <c r="CD31" s="825"/>
      <c r="CE31" s="825"/>
      <c r="CF31" s="825"/>
      <c r="CG31" s="825"/>
      <c r="CH31" s="825"/>
      <c r="CI31" s="825"/>
      <c r="CJ31" s="825"/>
      <c r="CK31" s="825"/>
      <c r="CL31" s="825"/>
      <c r="CM31" s="825"/>
      <c r="CN31" s="825"/>
      <c r="CO31" s="825"/>
      <c r="CP31" s="825"/>
      <c r="CQ31" s="825"/>
      <c r="CR31" s="825"/>
      <c r="CS31" s="825"/>
      <c r="CT31" s="825"/>
      <c r="CU31" s="825"/>
      <c r="CV31" s="825"/>
      <c r="CW31" s="825"/>
      <c r="CX31" s="825"/>
      <c r="CY31" s="825"/>
      <c r="CZ31" s="825"/>
      <c r="DA31" s="825"/>
      <c r="DB31" s="825"/>
      <c r="DC31" s="825"/>
      <c r="DD31" s="825"/>
      <c r="DE31" s="825"/>
      <c r="DF31" s="825"/>
      <c r="DG31" s="825"/>
      <c r="DH31" s="825"/>
      <c r="DI31" s="825"/>
      <c r="DJ31" s="825"/>
      <c r="DK31" s="825"/>
      <c r="DL31" s="825"/>
      <c r="DM31" s="825"/>
      <c r="DN31" s="825"/>
      <c r="DO31" s="825"/>
      <c r="DP31" s="825"/>
      <c r="DQ31" s="825"/>
      <c r="DR31" s="825"/>
      <c r="DS31" s="825"/>
      <c r="DT31" s="825"/>
      <c r="DU31" s="825"/>
      <c r="DV31" s="825"/>
      <c r="DW31" s="825"/>
      <c r="DX31" s="825"/>
      <c r="DY31" s="825"/>
      <c r="DZ31" s="825"/>
      <c r="EA31" s="825"/>
      <c r="EB31" s="825"/>
      <c r="EC31" s="825"/>
      <c r="ED31" s="825"/>
      <c r="EE31" s="825"/>
      <c r="EF31" s="825"/>
      <c r="EG31" s="825"/>
      <c r="EH31" s="825"/>
      <c r="EI31" s="825"/>
      <c r="EJ31" s="825"/>
      <c r="EK31" s="825"/>
      <c r="EL31" s="825"/>
      <c r="EM31" s="825"/>
      <c r="EN31" s="825"/>
      <c r="EO31" s="825"/>
      <c r="EP31" s="825"/>
      <c r="EQ31" s="825"/>
      <c r="ER31" s="825"/>
      <c r="ES31" s="825"/>
      <c r="ET31" s="825"/>
      <c r="EU31" s="825"/>
      <c r="EV31" s="825"/>
      <c r="EW31" s="825"/>
      <c r="EX31" s="825"/>
      <c r="EY31" s="825"/>
      <c r="EZ31" s="825"/>
      <c r="FA31" s="825"/>
      <c r="FB31" s="825"/>
      <c r="FC31" s="825"/>
      <c r="FD31" s="825"/>
      <c r="FE31" s="825"/>
      <c r="FF31" s="825"/>
      <c r="FG31" s="825"/>
      <c r="FH31" s="825"/>
      <c r="FI31" s="825"/>
      <c r="FJ31" s="825"/>
      <c r="FK31" s="825"/>
      <c r="FL31" s="825"/>
      <c r="FM31" s="825"/>
      <c r="FN31" s="825"/>
      <c r="FO31" s="825"/>
      <c r="FP31" s="825"/>
      <c r="FQ31" s="825"/>
      <c r="FR31" s="825"/>
      <c r="FS31" s="825"/>
      <c r="FT31" s="825"/>
      <c r="FU31" s="825"/>
      <c r="FV31" s="825"/>
      <c r="FW31" s="825"/>
      <c r="FX31" s="825"/>
      <c r="FY31" s="825"/>
      <c r="FZ31" s="825"/>
      <c r="GA31" s="825"/>
      <c r="GB31" s="825"/>
      <c r="GC31" s="825"/>
      <c r="GD31" s="825"/>
      <c r="GE31" s="825"/>
      <c r="GF31" s="825"/>
      <c r="GG31" s="825"/>
      <c r="GH31" s="825"/>
      <c r="GI31" s="825"/>
      <c r="GJ31" s="825"/>
      <c r="GK31" s="825"/>
      <c r="GL31" s="825"/>
      <c r="GM31" s="825"/>
      <c r="GN31" s="825"/>
      <c r="GO31" s="825"/>
      <c r="GP31" s="825"/>
      <c r="GQ31" s="825"/>
      <c r="GR31" s="825"/>
      <c r="GS31" s="825"/>
      <c r="GT31" s="825"/>
      <c r="GU31" s="825"/>
      <c r="GV31" s="825"/>
      <c r="GW31" s="825"/>
      <c r="GX31" s="825"/>
      <c r="GY31" s="825"/>
      <c r="GZ31" s="825"/>
      <c r="HA31" s="825"/>
      <c r="HB31" s="825"/>
      <c r="HC31" s="825"/>
      <c r="HD31" s="825"/>
      <c r="HE31" s="825"/>
      <c r="HF31" s="825"/>
      <c r="HG31" s="825"/>
      <c r="HH31" s="825"/>
      <c r="HI31" s="825"/>
      <c r="HJ31" s="825"/>
      <c r="HK31" s="825"/>
      <c r="HL31" s="825"/>
      <c r="HM31" s="825"/>
      <c r="HN31" s="825"/>
      <c r="HO31" s="825"/>
      <c r="HP31" s="825"/>
      <c r="HQ31" s="825"/>
      <c r="HR31" s="825"/>
      <c r="HS31" s="825"/>
      <c r="HT31" s="825"/>
      <c r="HU31" s="825"/>
      <c r="HV31" s="825"/>
      <c r="HW31" s="825"/>
      <c r="HX31" s="825"/>
      <c r="HY31" s="825"/>
      <c r="HZ31" s="825"/>
      <c r="IA31" s="825"/>
      <c r="IB31" s="825"/>
      <c r="IC31" s="825"/>
      <c r="ID31" s="825"/>
      <c r="IE31" s="825"/>
      <c r="IF31" s="825"/>
      <c r="IG31" s="825"/>
      <c r="IH31" s="825"/>
      <c r="II31" s="825"/>
      <c r="IJ31" s="825"/>
      <c r="IK31" s="825"/>
      <c r="IL31" s="825"/>
      <c r="IM31" s="825"/>
      <c r="IN31" s="825"/>
      <c r="IO31" s="825"/>
      <c r="IP31" s="825"/>
      <c r="IQ31" s="825"/>
      <c r="IR31" s="825"/>
      <c r="IS31" s="825"/>
      <c r="IT31" s="825"/>
      <c r="IU31" s="825"/>
      <c r="IV31" s="825"/>
      <c r="IW31" s="825"/>
      <c r="IX31" s="825"/>
      <c r="IY31" s="825"/>
      <c r="IZ31" s="825"/>
    </row>
    <row r="32" spans="2:260" s="1088" customFormat="1" ht="16.5" customHeight="1">
      <c r="B32" s="1069" t="s">
        <v>725</v>
      </c>
      <c r="C32" s="1182">
        <v>1.5E-3</v>
      </c>
      <c r="D32" s="1071">
        <v>7.5</v>
      </c>
      <c r="F32" s="1069" t="s">
        <v>725</v>
      </c>
      <c r="G32" s="1070">
        <v>1.5E-3</v>
      </c>
      <c r="H32" s="1071">
        <f>$C$1*G32</f>
        <v>7.5</v>
      </c>
      <c r="I32" s="1063"/>
      <c r="J32" s="1069" t="s">
        <v>725</v>
      </c>
      <c r="K32" s="1070">
        <v>1.5E-3</v>
      </c>
      <c r="L32" s="1071">
        <f>$C$1*K32</f>
        <v>7.5</v>
      </c>
      <c r="M32" s="1063"/>
      <c r="N32" s="1449"/>
      <c r="O32" s="1449"/>
      <c r="P32" s="1449"/>
      <c r="Q32" s="825"/>
      <c r="R32" s="825"/>
      <c r="S32" s="825"/>
      <c r="T32" s="825"/>
      <c r="U32" s="825"/>
      <c r="V32" s="825"/>
      <c r="W32" s="825"/>
      <c r="X32" s="825"/>
      <c r="Y32" s="825"/>
      <c r="Z32" s="825"/>
      <c r="AA32" s="825"/>
      <c r="AB32" s="825"/>
      <c r="AC32" s="825"/>
      <c r="AD32" s="825"/>
      <c r="AE32" s="825"/>
      <c r="AF32" s="825"/>
      <c r="AG32" s="825"/>
      <c r="AH32" s="825"/>
      <c r="AI32" s="825"/>
      <c r="AJ32" s="825"/>
      <c r="AK32" s="825"/>
      <c r="AL32" s="825"/>
      <c r="AM32" s="825"/>
      <c r="AN32" s="825"/>
      <c r="AO32" s="825"/>
      <c r="AP32" s="825"/>
      <c r="AQ32" s="825"/>
      <c r="AR32" s="825"/>
      <c r="AS32" s="825"/>
      <c r="AT32" s="825"/>
      <c r="AU32" s="825"/>
      <c r="AV32" s="825"/>
      <c r="AW32" s="825"/>
      <c r="AX32" s="825"/>
      <c r="AY32" s="825"/>
      <c r="AZ32" s="825"/>
      <c r="BA32" s="825"/>
      <c r="BB32" s="825"/>
      <c r="BC32" s="825"/>
      <c r="BD32" s="825"/>
      <c r="BE32" s="825"/>
      <c r="BF32" s="825"/>
      <c r="BG32" s="825"/>
      <c r="BH32" s="825"/>
      <c r="BI32" s="825"/>
      <c r="BJ32" s="825"/>
      <c r="BK32" s="825"/>
      <c r="BL32" s="825"/>
      <c r="BM32" s="825"/>
      <c r="BN32" s="825"/>
      <c r="BO32" s="825"/>
      <c r="BP32" s="825"/>
      <c r="BQ32" s="825"/>
      <c r="BR32" s="825"/>
      <c r="BS32" s="825"/>
      <c r="BT32" s="825"/>
      <c r="BU32" s="825"/>
      <c r="BV32" s="825"/>
      <c r="BW32" s="825"/>
      <c r="BX32" s="825"/>
      <c r="BY32" s="825"/>
      <c r="BZ32" s="825"/>
      <c r="CA32" s="825"/>
      <c r="CB32" s="825"/>
      <c r="CC32" s="825"/>
      <c r="CD32" s="825"/>
      <c r="CE32" s="825"/>
      <c r="CF32" s="825"/>
      <c r="CG32" s="825"/>
      <c r="CH32" s="825"/>
      <c r="CI32" s="825"/>
      <c r="CJ32" s="825"/>
      <c r="CK32" s="825"/>
      <c r="CL32" s="825"/>
      <c r="CM32" s="825"/>
      <c r="CN32" s="825"/>
      <c r="CO32" s="825"/>
      <c r="CP32" s="825"/>
      <c r="CQ32" s="825"/>
      <c r="CR32" s="825"/>
      <c r="CS32" s="825"/>
      <c r="CT32" s="825"/>
      <c r="CU32" s="825"/>
      <c r="CV32" s="825"/>
      <c r="CW32" s="825"/>
      <c r="CX32" s="825"/>
      <c r="CY32" s="825"/>
      <c r="CZ32" s="825"/>
      <c r="DA32" s="825"/>
      <c r="DB32" s="825"/>
      <c r="DC32" s="825"/>
      <c r="DD32" s="825"/>
      <c r="DE32" s="825"/>
      <c r="DF32" s="825"/>
      <c r="DG32" s="825"/>
      <c r="DH32" s="825"/>
      <c r="DI32" s="825"/>
      <c r="DJ32" s="825"/>
      <c r="DK32" s="825"/>
      <c r="DL32" s="825"/>
      <c r="DM32" s="825"/>
      <c r="DN32" s="825"/>
      <c r="DO32" s="825"/>
      <c r="DP32" s="825"/>
      <c r="DQ32" s="825"/>
      <c r="DR32" s="825"/>
      <c r="DS32" s="825"/>
      <c r="DT32" s="825"/>
      <c r="DU32" s="825"/>
      <c r="DV32" s="825"/>
      <c r="DW32" s="825"/>
      <c r="DX32" s="825"/>
      <c r="DY32" s="825"/>
      <c r="DZ32" s="825"/>
      <c r="EA32" s="825"/>
      <c r="EB32" s="825"/>
      <c r="EC32" s="825"/>
      <c r="ED32" s="825"/>
      <c r="EE32" s="825"/>
      <c r="EF32" s="825"/>
      <c r="EG32" s="825"/>
      <c r="EH32" s="825"/>
      <c r="EI32" s="825"/>
      <c r="EJ32" s="825"/>
      <c r="EK32" s="825"/>
      <c r="EL32" s="825"/>
      <c r="EM32" s="825"/>
      <c r="EN32" s="825"/>
      <c r="EO32" s="825"/>
      <c r="EP32" s="825"/>
      <c r="EQ32" s="825"/>
      <c r="ER32" s="825"/>
      <c r="ES32" s="825"/>
      <c r="ET32" s="825"/>
      <c r="EU32" s="825"/>
      <c r="EV32" s="825"/>
      <c r="EW32" s="825"/>
      <c r="EX32" s="825"/>
      <c r="EY32" s="825"/>
      <c r="EZ32" s="825"/>
      <c r="FA32" s="825"/>
      <c r="FB32" s="825"/>
      <c r="FC32" s="825"/>
      <c r="FD32" s="825"/>
      <c r="FE32" s="825"/>
      <c r="FF32" s="825"/>
      <c r="FG32" s="825"/>
      <c r="FH32" s="825"/>
      <c r="FI32" s="825"/>
      <c r="FJ32" s="825"/>
      <c r="FK32" s="825"/>
      <c r="FL32" s="825"/>
      <c r="FM32" s="825"/>
      <c r="FN32" s="825"/>
      <c r="FO32" s="825"/>
      <c r="FP32" s="825"/>
      <c r="FQ32" s="825"/>
      <c r="FR32" s="825"/>
      <c r="FS32" s="825"/>
      <c r="FT32" s="825"/>
      <c r="FU32" s="825"/>
      <c r="FV32" s="825"/>
      <c r="FW32" s="825"/>
      <c r="FX32" s="825"/>
      <c r="FY32" s="825"/>
      <c r="FZ32" s="825"/>
      <c r="GA32" s="825"/>
      <c r="GB32" s="825"/>
      <c r="GC32" s="825"/>
      <c r="GD32" s="825"/>
      <c r="GE32" s="825"/>
      <c r="GF32" s="825"/>
      <c r="GG32" s="825"/>
      <c r="GH32" s="825"/>
      <c r="GI32" s="825"/>
      <c r="GJ32" s="825"/>
      <c r="GK32" s="825"/>
      <c r="GL32" s="825"/>
      <c r="GM32" s="825"/>
      <c r="GN32" s="825"/>
      <c r="GO32" s="825"/>
      <c r="GP32" s="825"/>
      <c r="GQ32" s="825"/>
      <c r="GR32" s="825"/>
      <c r="GS32" s="825"/>
      <c r="GT32" s="825"/>
      <c r="GU32" s="825"/>
      <c r="GV32" s="825"/>
      <c r="GW32" s="825"/>
      <c r="GX32" s="825"/>
      <c r="GY32" s="825"/>
      <c r="GZ32" s="825"/>
      <c r="HA32" s="825"/>
      <c r="HB32" s="825"/>
      <c r="HC32" s="825"/>
      <c r="HD32" s="825"/>
      <c r="HE32" s="825"/>
      <c r="HF32" s="825"/>
      <c r="HG32" s="825"/>
      <c r="HH32" s="825"/>
      <c r="HI32" s="825"/>
      <c r="HJ32" s="825"/>
      <c r="HK32" s="825"/>
      <c r="HL32" s="825"/>
      <c r="HM32" s="825"/>
      <c r="HN32" s="825"/>
      <c r="HO32" s="825"/>
      <c r="HP32" s="825"/>
      <c r="HQ32" s="825"/>
      <c r="HR32" s="825"/>
      <c r="HS32" s="825"/>
      <c r="HT32" s="825"/>
      <c r="HU32" s="825"/>
      <c r="HV32" s="825"/>
      <c r="HW32" s="825"/>
      <c r="HX32" s="825"/>
      <c r="HY32" s="825"/>
      <c r="HZ32" s="825"/>
      <c r="IA32" s="825"/>
      <c r="IB32" s="825"/>
      <c r="IC32" s="825"/>
      <c r="ID32" s="825"/>
      <c r="IE32" s="825"/>
      <c r="IF32" s="825"/>
      <c r="IG32" s="825"/>
      <c r="IH32" s="825"/>
      <c r="II32" s="825"/>
      <c r="IJ32" s="825"/>
      <c r="IK32" s="825"/>
      <c r="IL32" s="825"/>
      <c r="IM32" s="825"/>
      <c r="IN32" s="825"/>
      <c r="IO32" s="825"/>
      <c r="IP32" s="825"/>
      <c r="IQ32" s="825"/>
      <c r="IR32" s="825"/>
      <c r="IS32" s="825"/>
      <c r="IT32" s="825"/>
      <c r="IU32" s="825"/>
      <c r="IV32" s="825"/>
      <c r="IW32" s="825"/>
      <c r="IX32" s="825"/>
      <c r="IY32" s="825"/>
      <c r="IZ32" s="825"/>
    </row>
    <row r="33" spans="2:16" ht="16.5" customHeight="1" thickBot="1">
      <c r="B33" s="1069" t="s">
        <v>653</v>
      </c>
      <c r="C33" s="1070" t="str">
        <f>$C$24</f>
        <v>.3466 x 80</v>
      </c>
      <c r="D33" s="1071">
        <f>$D$24</f>
        <v>19.056000000000001</v>
      </c>
      <c r="F33" s="1069" t="s">
        <v>653</v>
      </c>
      <c r="G33" s="1070" t="str">
        <f>$C$11</f>
        <v>.3466 x 160</v>
      </c>
      <c r="H33" s="1071">
        <f>$D$11</f>
        <v>38.112000000000002</v>
      </c>
      <c r="I33" s="1072"/>
      <c r="J33" s="1069" t="s">
        <v>653</v>
      </c>
      <c r="K33" s="1070" t="str">
        <f>$C$11</f>
        <v>.3466 x 160</v>
      </c>
      <c r="L33" s="1071">
        <f>$D$11</f>
        <v>38.112000000000002</v>
      </c>
      <c r="M33" s="1072"/>
      <c r="N33" s="1449"/>
      <c r="O33" s="1449"/>
      <c r="P33" s="1449"/>
    </row>
    <row r="34" spans="2:16" ht="16.5" customHeight="1" thickBot="1">
      <c r="B34" s="1073" t="s">
        <v>662</v>
      </c>
      <c r="C34" s="1107" t="s">
        <v>188</v>
      </c>
      <c r="D34" s="1075" t="b">
        <f>C145=IF(C34="Fall", D40/4.5,IF(C34="Spring/Summer",D41/7.5,IF(C34="Calendar Year",D42/12)))</f>
        <v>0</v>
      </c>
      <c r="F34" s="1073" t="s">
        <v>357</v>
      </c>
      <c r="G34" s="1074"/>
      <c r="H34" s="1075">
        <f>$D$13</f>
        <v>1145</v>
      </c>
      <c r="I34" s="1076"/>
      <c r="J34" s="1073" t="s">
        <v>357</v>
      </c>
      <c r="K34" s="1074"/>
      <c r="L34" s="1075">
        <f>$D$13</f>
        <v>1145</v>
      </c>
      <c r="M34" s="1076"/>
    </row>
    <row r="35" spans="2:16" ht="17.25" customHeight="1">
      <c r="B35" s="1077" t="s">
        <v>237</v>
      </c>
      <c r="C35" s="1055"/>
      <c r="D35" s="1062">
        <f>SUM(D31:D34)</f>
        <v>1392.8893333333333</v>
      </c>
      <c r="F35" s="1077" t="s">
        <v>237</v>
      </c>
      <c r="G35" s="1058"/>
      <c r="H35" s="1062">
        <f>SUM(H28:H34)</f>
        <v>2082.1120000000001</v>
      </c>
      <c r="I35" s="1063"/>
      <c r="J35" s="1077" t="s">
        <v>237</v>
      </c>
      <c r="K35" s="1058"/>
      <c r="L35" s="1062">
        <f>SUM(L28:L34)</f>
        <v>2082.1120000000001</v>
      </c>
      <c r="M35" s="1063"/>
    </row>
    <row r="36" spans="2:16" ht="16.5" customHeight="1">
      <c r="B36" s="1064"/>
      <c r="C36" s="1055"/>
      <c r="D36" s="1078"/>
      <c r="F36" s="1064"/>
      <c r="G36" s="1055"/>
      <c r="H36" s="1078"/>
      <c r="I36" s="1079"/>
      <c r="J36" s="1064"/>
      <c r="K36" s="1055"/>
      <c r="L36" s="1078"/>
      <c r="M36" s="1079"/>
    </row>
    <row r="37" spans="2:16" ht="16.5" customHeight="1" thickBot="1">
      <c r="B37" s="1080" t="s">
        <v>343</v>
      </c>
      <c r="C37" s="1081"/>
      <c r="D37" s="1082">
        <f>SUM(D35/$C$1)</f>
        <v>0.27857786666666667</v>
      </c>
      <c r="F37" s="1080" t="s">
        <v>343</v>
      </c>
      <c r="G37" s="1081"/>
      <c r="H37" s="1082">
        <f>SUM(H35/$C$1)</f>
        <v>0.41642240000000003</v>
      </c>
      <c r="I37" s="1083"/>
      <c r="J37" s="1080" t="s">
        <v>343</v>
      </c>
      <c r="K37" s="1081"/>
      <c r="L37" s="1082">
        <f>SUM(L35/$C$1)</f>
        <v>0.41642240000000003</v>
      </c>
      <c r="M37" s="1083"/>
    </row>
    <row r="38" spans="2:16" ht="16.5" customHeight="1" thickBot="1"/>
    <row r="39" spans="2:16" ht="16.5" customHeight="1" thickBot="1">
      <c r="B39" s="1450" t="s">
        <v>663</v>
      </c>
      <c r="C39" s="1451"/>
      <c r="D39" s="1452"/>
      <c r="F39" s="1453" t="s">
        <v>349</v>
      </c>
      <c r="G39" s="1454"/>
      <c r="H39" s="1455"/>
      <c r="I39" s="1093"/>
      <c r="J39" s="1453" t="s">
        <v>348</v>
      </c>
      <c r="K39" s="1454"/>
      <c r="L39" s="1455"/>
      <c r="M39" s="1093"/>
    </row>
    <row r="40" spans="2:16" ht="16.5" customHeight="1">
      <c r="B40" s="1100" t="s">
        <v>664</v>
      </c>
      <c r="C40" s="1085"/>
      <c r="D40" s="1101">
        <v>72</v>
      </c>
      <c r="F40" s="1095" t="s">
        <v>347</v>
      </c>
      <c r="G40" s="1085"/>
      <c r="H40" s="1096" t="s">
        <v>230</v>
      </c>
      <c r="I40" s="1097"/>
      <c r="J40" s="1095" t="s">
        <v>346</v>
      </c>
      <c r="K40" s="1085"/>
      <c r="L40" s="1096" t="s">
        <v>230</v>
      </c>
      <c r="M40" s="1097"/>
    </row>
    <row r="41" spans="2:16" ht="16.5" customHeight="1">
      <c r="B41" s="1102" t="s">
        <v>668</v>
      </c>
      <c r="C41" s="1055"/>
      <c r="D41" s="1103">
        <v>1271</v>
      </c>
      <c r="F41" s="1057" t="s">
        <v>648</v>
      </c>
      <c r="G41" s="1058">
        <f>$C$7</f>
        <v>6.2E-2</v>
      </c>
      <c r="H41" s="1062">
        <f>$C$1*G41</f>
        <v>310</v>
      </c>
      <c r="I41" s="1063"/>
      <c r="J41" s="1057" t="s">
        <v>648</v>
      </c>
      <c r="K41" s="1058">
        <f>$C$7</f>
        <v>6.2E-2</v>
      </c>
      <c r="L41" s="1062">
        <f>$C$1*K41</f>
        <v>310</v>
      </c>
      <c r="M41" s="1063"/>
    </row>
    <row r="42" spans="2:16" ht="16.5" customHeight="1" thickBot="1">
      <c r="B42" s="1104" t="s">
        <v>188</v>
      </c>
      <c r="C42" s="1081"/>
      <c r="D42" s="1105">
        <v>2043</v>
      </c>
      <c r="F42" s="1064" t="s">
        <v>649</v>
      </c>
      <c r="G42" s="1055">
        <f>$C$8</f>
        <v>1.4500000000000001E-2</v>
      </c>
      <c r="H42" s="1065">
        <f t="shared" ref="H42:H44" si="11">$C$1*G42</f>
        <v>72.5</v>
      </c>
      <c r="I42" s="1063"/>
      <c r="J42" s="1064" t="s">
        <v>649</v>
      </c>
      <c r="K42" s="1055">
        <f>$C$8</f>
        <v>1.4500000000000001E-2</v>
      </c>
      <c r="L42" s="1065">
        <f t="shared" ref="L42:L44" si="12">$C$1*K42</f>
        <v>72.5</v>
      </c>
      <c r="M42" s="1063"/>
    </row>
    <row r="43" spans="2:16" ht="16.5" customHeight="1" thickBot="1">
      <c r="F43" s="1066" t="s">
        <v>347</v>
      </c>
      <c r="G43" s="1055">
        <v>0.10249999999999999</v>
      </c>
      <c r="H43" s="1065">
        <f t="shared" si="11"/>
        <v>512.5</v>
      </c>
      <c r="I43" s="1063"/>
      <c r="J43" s="1066" t="s">
        <v>346</v>
      </c>
      <c r="K43" s="1055">
        <v>0.15740000000000001</v>
      </c>
      <c r="L43" s="1065">
        <f t="shared" si="12"/>
        <v>787.00000000000011</v>
      </c>
      <c r="M43" s="1063"/>
    </row>
    <row r="44" spans="2:16" ht="16.5" customHeight="1" thickBot="1">
      <c r="B44" s="1450" t="s">
        <v>631</v>
      </c>
      <c r="C44" s="1451"/>
      <c r="D44" s="1452"/>
      <c r="F44" s="1064" t="s">
        <v>652</v>
      </c>
      <c r="G44" s="1068">
        <f>$C$10</f>
        <v>1.8E-3</v>
      </c>
      <c r="H44" s="1065">
        <f t="shared" si="11"/>
        <v>9</v>
      </c>
      <c r="I44" s="1063"/>
      <c r="J44" s="1064" t="s">
        <v>652</v>
      </c>
      <c r="K44" s="1068">
        <f>$C$10</f>
        <v>1.8E-3</v>
      </c>
      <c r="L44" s="1065">
        <f t="shared" si="12"/>
        <v>9</v>
      </c>
      <c r="M44" s="1063"/>
    </row>
    <row r="45" spans="2:16" ht="16.5" customHeight="1" thickBot="1">
      <c r="B45" s="1094" t="s">
        <v>653</v>
      </c>
      <c r="C45" s="1446" t="s">
        <v>730</v>
      </c>
      <c r="D45" s="1447"/>
      <c r="F45" s="1069" t="s">
        <v>653</v>
      </c>
      <c r="G45" s="1070" t="str">
        <f>$C$11</f>
        <v>.3466 x 160</v>
      </c>
      <c r="H45" s="1071">
        <f>$D$11</f>
        <v>38.112000000000002</v>
      </c>
      <c r="I45" s="1072"/>
      <c r="J45" s="1069" t="s">
        <v>653</v>
      </c>
      <c r="K45" s="1070" t="str">
        <f>$C$11</f>
        <v>.3466 x 160</v>
      </c>
      <c r="L45" s="1071">
        <f>$D$11</f>
        <v>38.112000000000002</v>
      </c>
      <c r="M45" s="1072"/>
    </row>
    <row r="46" spans="2:16" ht="16.5" customHeight="1">
      <c r="B46" s="1169"/>
      <c r="C46" s="1170"/>
      <c r="D46" s="1170"/>
      <c r="F46" s="1069" t="s">
        <v>725</v>
      </c>
      <c r="G46" s="1070">
        <v>1.5E-3</v>
      </c>
      <c r="H46" s="1065">
        <f t="shared" ref="H46" si="13">$C$1*G46</f>
        <v>7.5</v>
      </c>
      <c r="I46" s="1072"/>
      <c r="J46" s="1069" t="s">
        <v>725</v>
      </c>
      <c r="K46" s="1070">
        <v>1.5E-3</v>
      </c>
      <c r="L46" s="1065">
        <f t="shared" ref="L46" si="14">$C$1*K46</f>
        <v>7.5</v>
      </c>
      <c r="M46" s="1072"/>
    </row>
    <row r="47" spans="2:16" ht="16.5" customHeight="1">
      <c r="F47" s="1073" t="s">
        <v>357</v>
      </c>
      <c r="G47" s="1074"/>
      <c r="H47" s="1075">
        <f>$D$13</f>
        <v>1145</v>
      </c>
      <c r="I47" s="1076"/>
      <c r="J47" s="1073" t="s">
        <v>357</v>
      </c>
      <c r="K47" s="1074"/>
      <c r="L47" s="1075">
        <f>$D$13</f>
        <v>1145</v>
      </c>
      <c r="M47" s="1076"/>
    </row>
    <row r="48" spans="2:16" ht="16.5" customHeight="1">
      <c r="F48" s="1077" t="s">
        <v>237</v>
      </c>
      <c r="G48" s="1058"/>
      <c r="H48" s="1062">
        <f>SUM(H41:H47)</f>
        <v>2094.6120000000001</v>
      </c>
      <c r="I48" s="1063"/>
      <c r="J48" s="1077" t="s">
        <v>237</v>
      </c>
      <c r="K48" s="1058"/>
      <c r="L48" s="1062">
        <f>SUM(L41:L47)</f>
        <v>2369.1120000000001</v>
      </c>
      <c r="M48" s="1063"/>
    </row>
    <row r="49" spans="1:13" ht="16.5" customHeight="1">
      <c r="F49" s="1064"/>
      <c r="G49" s="1055"/>
      <c r="H49" s="1078"/>
      <c r="I49" s="1079"/>
      <c r="J49" s="1064"/>
      <c r="K49" s="1055"/>
      <c r="L49" s="1078"/>
      <c r="M49" s="1079"/>
    </row>
    <row r="50" spans="1:13" ht="16.5" customHeight="1" thickBot="1">
      <c r="F50" s="1080" t="s">
        <v>343</v>
      </c>
      <c r="G50" s="1081"/>
      <c r="H50" s="1082">
        <f>SUM(H48/$C$1)</f>
        <v>0.41892240000000003</v>
      </c>
      <c r="I50" s="1083"/>
      <c r="J50" s="1080" t="s">
        <v>343</v>
      </c>
      <c r="K50" s="1081"/>
      <c r="L50" s="1082">
        <f>SUM(L48/$C$1)</f>
        <v>0.47382240000000003</v>
      </c>
      <c r="M50" s="1083"/>
    </row>
    <row r="51" spans="1:13" ht="16.5" customHeight="1"/>
    <row r="52" spans="1:13">
      <c r="A52" s="825" t="s">
        <v>342</v>
      </c>
    </row>
  </sheetData>
  <mergeCells count="17">
    <mergeCell ref="D1:F1"/>
    <mergeCell ref="B18:D22"/>
    <mergeCell ref="B23:D23"/>
    <mergeCell ref="A1:B1"/>
    <mergeCell ref="A2:C2"/>
    <mergeCell ref="B4:P4"/>
    <mergeCell ref="B5:D5"/>
    <mergeCell ref="F5:H5"/>
    <mergeCell ref="J5:L5"/>
    <mergeCell ref="N5:P5"/>
    <mergeCell ref="C45:D45"/>
    <mergeCell ref="N29:P33"/>
    <mergeCell ref="B30:D30"/>
    <mergeCell ref="B44:D44"/>
    <mergeCell ref="F39:H39"/>
    <mergeCell ref="J39:L39"/>
    <mergeCell ref="B39:D39"/>
  </mergeCells>
  <dataValidations count="1">
    <dataValidation type="list" allowBlank="1" showInputMessage="1" showErrorMessage="1" promptTitle="Semester" prompt="Please choose a semester:_x000a_Fall_x000a_Spring/Summer_x000a_All Year" sqref="C26 C34" xr:uid="{00000000-0002-0000-0500-000000000000}">
      <formula1>$B$40:$B$42</formula1>
    </dataValidation>
  </dataValidations>
  <pageMargins left="0.25" right="0.25" top="0.25" bottom="0.25" header="0.03" footer="0.3"/>
  <pageSetup scale="35"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A1" transitionEvaluation="1">
    <pageSetUpPr fitToPage="1"/>
  </sheetPr>
  <dimension ref="A1:K50"/>
  <sheetViews>
    <sheetView showGridLines="0" workbookViewId="0">
      <selection activeCell="B2" sqref="B2"/>
    </sheetView>
  </sheetViews>
  <sheetFormatPr defaultColWidth="9.7109375" defaultRowHeight="15.75"/>
  <cols>
    <col min="1" max="1" width="23.7109375" style="193" customWidth="1"/>
    <col min="2" max="2" width="14.28515625" style="193" customWidth="1"/>
    <col min="3" max="3" width="2.7109375" style="193" customWidth="1"/>
    <col min="4" max="4" width="32.28515625" style="193" customWidth="1"/>
    <col min="5" max="5" width="12.5703125" style="806" customWidth="1"/>
    <col min="6" max="6" width="2.7109375" style="193" customWidth="1"/>
    <col min="7" max="7" width="32.28515625" style="193" customWidth="1"/>
    <col min="8" max="8" width="12.5703125" style="193" customWidth="1"/>
    <col min="9" max="9" width="2.7109375" style="193" customWidth="1"/>
    <col min="10" max="10" width="24.28515625" style="193" customWidth="1"/>
    <col min="11" max="11" width="12.5703125" style="193" customWidth="1"/>
    <col min="12" max="16384" width="9.7109375" style="193"/>
  </cols>
  <sheetData>
    <row r="1" spans="1:11" ht="16.5" thickBot="1">
      <c r="A1" s="825"/>
      <c r="B1" s="825"/>
      <c r="C1" s="825"/>
      <c r="D1" s="825"/>
      <c r="E1" s="826"/>
      <c r="F1" s="825"/>
      <c r="G1" s="825"/>
      <c r="H1" s="825"/>
      <c r="I1" s="825"/>
      <c r="J1" s="825"/>
      <c r="K1" s="825"/>
    </row>
    <row r="2" spans="1:11">
      <c r="A2" s="923" t="s">
        <v>368</v>
      </c>
      <c r="B2" s="1037">
        <v>6000</v>
      </c>
      <c r="C2" s="825"/>
      <c r="D2" s="825"/>
      <c r="E2" s="826"/>
      <c r="F2" s="827" t="s">
        <v>229</v>
      </c>
      <c r="G2" s="828"/>
      <c r="H2" s="1481" t="s">
        <v>611</v>
      </c>
      <c r="I2" s="1482"/>
      <c r="J2" s="1482"/>
      <c r="K2" s="1483"/>
    </row>
    <row r="3" spans="1:11" ht="33" customHeight="1" thickBot="1">
      <c r="A3" s="1491" t="s">
        <v>367</v>
      </c>
      <c r="B3" s="1492"/>
      <c r="C3" s="825"/>
      <c r="D3" s="825"/>
      <c r="E3" s="826"/>
      <c r="F3" s="829" t="s">
        <v>603</v>
      </c>
      <c r="G3" s="825"/>
      <c r="H3" s="1484" t="s">
        <v>612</v>
      </c>
      <c r="I3" s="1485"/>
      <c r="J3" s="1485"/>
      <c r="K3" s="1486"/>
    </row>
    <row r="4" spans="1:11" ht="9" customHeight="1">
      <c r="A4" s="830"/>
      <c r="B4" s="830"/>
      <c r="C4" s="825"/>
      <c r="D4" s="825"/>
      <c r="E4" s="826"/>
      <c r="F4" s="825"/>
      <c r="G4" s="825"/>
      <c r="H4" s="825"/>
      <c r="I4" s="825"/>
      <c r="J4" s="825"/>
      <c r="K4" s="825"/>
    </row>
    <row r="5" spans="1:11">
      <c r="A5" s="1493" t="s">
        <v>365</v>
      </c>
      <c r="B5" s="1494"/>
      <c r="C5" s="1494"/>
      <c r="D5" s="1494"/>
      <c r="E5" s="1494"/>
      <c r="F5" s="1494"/>
      <c r="G5" s="1494"/>
      <c r="H5" s="1494"/>
      <c r="I5" s="1494"/>
      <c r="J5" s="1494"/>
      <c r="K5" s="1495"/>
    </row>
    <row r="6" spans="1:11" ht="16.5" customHeight="1">
      <c r="A6" s="1496" t="s">
        <v>364</v>
      </c>
      <c r="B6" s="1497"/>
      <c r="C6" s="825"/>
      <c r="D6" s="1496" t="s">
        <v>363</v>
      </c>
      <c r="E6" s="1497"/>
      <c r="F6" s="825"/>
      <c r="G6" s="1496" t="s">
        <v>105</v>
      </c>
      <c r="H6" s="1497"/>
      <c r="I6" s="825"/>
      <c r="J6" s="1496" t="s">
        <v>362</v>
      </c>
      <c r="K6" s="1497"/>
    </row>
    <row r="7" spans="1:11" ht="16.5" customHeight="1">
      <c r="A7" s="831" t="s">
        <v>361</v>
      </c>
      <c r="B7" s="832" t="s">
        <v>230</v>
      </c>
      <c r="C7" s="825"/>
      <c r="D7" s="833" t="s">
        <v>231</v>
      </c>
      <c r="E7" s="834" t="s">
        <v>108</v>
      </c>
      <c r="F7" s="825"/>
      <c r="G7" s="833" t="s">
        <v>231</v>
      </c>
      <c r="H7" s="835" t="s">
        <v>108</v>
      </c>
      <c r="I7" s="825"/>
      <c r="J7" s="833" t="s">
        <v>232</v>
      </c>
      <c r="K7" s="835" t="s">
        <v>108</v>
      </c>
    </row>
    <row r="8" spans="1:11">
      <c r="A8" s="924" t="s">
        <v>233</v>
      </c>
      <c r="B8" s="836">
        <f>SUM(B2*0.062)</f>
        <v>372</v>
      </c>
      <c r="C8" s="825"/>
      <c r="D8" s="925" t="str">
        <f>$A$8</f>
        <v>OASI - .062</v>
      </c>
      <c r="E8" s="837">
        <f>$B$8</f>
        <v>372</v>
      </c>
      <c r="F8" s="825"/>
      <c r="G8" s="925" t="str">
        <f>$A$8</f>
        <v>OASI - .062</v>
      </c>
      <c r="H8" s="837">
        <f>$B$8</f>
        <v>372</v>
      </c>
      <c r="I8" s="825"/>
      <c r="J8" s="831" t="s">
        <v>234</v>
      </c>
      <c r="K8" s="837">
        <v>0</v>
      </c>
    </row>
    <row r="9" spans="1:11" ht="16.5" customHeight="1">
      <c r="A9" s="838" t="s">
        <v>235</v>
      </c>
      <c r="B9" s="839">
        <f>SUM(B2*0.0145)</f>
        <v>87</v>
      </c>
      <c r="C9" s="825"/>
      <c r="D9" s="840" t="str">
        <f>$A$9</f>
        <v>Medicare - .0145</v>
      </c>
      <c r="E9" s="841">
        <f>$B$9</f>
        <v>87</v>
      </c>
      <c r="F9" s="825"/>
      <c r="G9" s="840" t="str">
        <f>$A$9</f>
        <v>Medicare - .0145</v>
      </c>
      <c r="H9" s="841">
        <f>$B$9</f>
        <v>87</v>
      </c>
      <c r="I9" s="825"/>
      <c r="J9" s="840" t="str">
        <f>$A$9</f>
        <v>Medicare - .0145</v>
      </c>
      <c r="K9" s="841">
        <f>$B$9</f>
        <v>87</v>
      </c>
    </row>
    <row r="10" spans="1:11" s="265" customFormat="1" ht="16.5" customHeight="1">
      <c r="A10" s="842" t="s">
        <v>360</v>
      </c>
      <c r="B10" s="843">
        <f>SUM(B2*0.0725)</f>
        <v>434.99999999999994</v>
      </c>
      <c r="C10" s="844"/>
      <c r="D10" s="842" t="s">
        <v>359</v>
      </c>
      <c r="E10" s="845">
        <f>SUM(B2*0.05)</f>
        <v>300</v>
      </c>
      <c r="F10" s="844"/>
      <c r="G10" s="842" t="s">
        <v>359</v>
      </c>
      <c r="H10" s="845">
        <f>SUM($B$2*0.05)</f>
        <v>300</v>
      </c>
      <c r="I10" s="844"/>
      <c r="J10" s="842" t="s">
        <v>236</v>
      </c>
      <c r="K10" s="845">
        <f>SUM($B$2*0.07)</f>
        <v>420.00000000000006</v>
      </c>
    </row>
    <row r="11" spans="1:11" ht="16.5" customHeight="1">
      <c r="A11" s="838" t="s">
        <v>358</v>
      </c>
      <c r="B11" s="839">
        <f>SUM(B2*0.005)</f>
        <v>30</v>
      </c>
      <c r="C11" s="825"/>
      <c r="D11" s="840" t="str">
        <f>$A$11</f>
        <v>Unempl - .005</v>
      </c>
      <c r="E11" s="841">
        <f>$B$11</f>
        <v>30</v>
      </c>
      <c r="F11" s="825"/>
      <c r="G11" s="840" t="str">
        <f>$A$11</f>
        <v>Unempl - .005</v>
      </c>
      <c r="H11" s="841">
        <f>$B$11</f>
        <v>30</v>
      </c>
      <c r="I11" s="825"/>
      <c r="J11" s="840" t="str">
        <f>$A$11</f>
        <v>Unempl - .005</v>
      </c>
      <c r="K11" s="841">
        <f>$B$11</f>
        <v>30</v>
      </c>
    </row>
    <row r="12" spans="1:11" ht="16.5" customHeight="1">
      <c r="A12" s="846" t="s">
        <v>604</v>
      </c>
      <c r="B12" s="839">
        <f>160*0.18985</f>
        <v>30.375999999999998</v>
      </c>
      <c r="C12" s="825"/>
      <c r="D12" s="847" t="str">
        <f>$A$12</f>
        <v>Med. Aid  - .18985 x 160</v>
      </c>
      <c r="E12" s="841">
        <f>$B$12</f>
        <v>30.375999999999998</v>
      </c>
      <c r="F12" s="825"/>
      <c r="G12" s="847" t="str">
        <f>$A$12</f>
        <v>Med. Aid  - .18985 x 160</v>
      </c>
      <c r="H12" s="841">
        <f>$B$12</f>
        <v>30.375999999999998</v>
      </c>
      <c r="I12" s="825"/>
      <c r="J12" s="847" t="str">
        <f>$A$12</f>
        <v>Med. Aid  - .18985 x 160</v>
      </c>
      <c r="K12" s="841">
        <f>$B$12</f>
        <v>30.375999999999998</v>
      </c>
    </row>
    <row r="13" spans="1:11" ht="16.5" customHeight="1">
      <c r="A13" s="848" t="s">
        <v>357</v>
      </c>
      <c r="B13" s="849">
        <v>809</v>
      </c>
      <c r="C13" s="825"/>
      <c r="D13" s="850" t="str">
        <f>$A$13</f>
        <v>Health</v>
      </c>
      <c r="E13" s="851">
        <f>$B$13</f>
        <v>809</v>
      </c>
      <c r="F13" s="852"/>
      <c r="G13" s="850" t="str">
        <f>$A$13</f>
        <v>Health</v>
      </c>
      <c r="H13" s="853">
        <f>$B$13</f>
        <v>809</v>
      </c>
      <c r="I13" s="852"/>
      <c r="J13" s="850" t="s">
        <v>354</v>
      </c>
      <c r="K13" s="841">
        <v>12</v>
      </c>
    </row>
    <row r="14" spans="1:11" ht="16.5" customHeight="1">
      <c r="A14" s="838" t="s">
        <v>237</v>
      </c>
      <c r="B14" s="854">
        <f>SUM(B8:B13)</f>
        <v>1763.376</v>
      </c>
      <c r="C14" s="825"/>
      <c r="D14" s="850" t="s">
        <v>237</v>
      </c>
      <c r="E14" s="855">
        <f>SUM(E8:E13)</f>
        <v>1628.376</v>
      </c>
      <c r="F14" s="852"/>
      <c r="G14" s="850" t="s">
        <v>237</v>
      </c>
      <c r="H14" s="856">
        <f>SUM(H8:H13)</f>
        <v>1628.376</v>
      </c>
      <c r="I14" s="852"/>
      <c r="J14" s="850" t="str">
        <f>$A$13</f>
        <v>Health</v>
      </c>
      <c r="K14" s="853">
        <f>$B$13</f>
        <v>809</v>
      </c>
    </row>
    <row r="15" spans="1:11" ht="16.5" customHeight="1">
      <c r="A15" s="838"/>
      <c r="B15" s="857"/>
      <c r="C15" s="825"/>
      <c r="D15" s="850"/>
      <c r="E15" s="858"/>
      <c r="F15" s="852"/>
      <c r="G15" s="850"/>
      <c r="H15" s="859"/>
      <c r="I15" s="852"/>
      <c r="J15" s="850" t="s">
        <v>237</v>
      </c>
      <c r="K15" s="837">
        <f>SUM(K8:K14)</f>
        <v>1388.376</v>
      </c>
    </row>
    <row r="16" spans="1:11" ht="16.5" customHeight="1">
      <c r="A16" s="860" t="s">
        <v>343</v>
      </c>
      <c r="B16" s="861">
        <f>SUM(B14/B2)</f>
        <v>0.29389599999999999</v>
      </c>
      <c r="C16" s="825"/>
      <c r="D16" s="850" t="s">
        <v>343</v>
      </c>
      <c r="E16" s="862">
        <f>SUM(E14/B2)</f>
        <v>0.27139599999999997</v>
      </c>
      <c r="F16" s="852"/>
      <c r="G16" s="850" t="s">
        <v>343</v>
      </c>
      <c r="H16" s="862">
        <f>SUM(H14/B2)</f>
        <v>0.27139599999999997</v>
      </c>
      <c r="I16" s="852"/>
      <c r="J16" s="863"/>
      <c r="K16" s="864"/>
    </row>
    <row r="17" spans="1:11" ht="16.5" customHeight="1" thickBot="1">
      <c r="A17" s="825"/>
      <c r="B17" s="825"/>
      <c r="C17" s="825"/>
      <c r="D17" s="924" t="str">
        <f>$A$8</f>
        <v>OASI - .062</v>
      </c>
      <c r="E17" s="865">
        <f>$B$8</f>
        <v>372</v>
      </c>
      <c r="F17" s="852"/>
      <c r="G17" s="924" t="str">
        <f>$A$8</f>
        <v>OASI - .062</v>
      </c>
      <c r="H17" s="865">
        <f>$B$8</f>
        <v>372</v>
      </c>
      <c r="I17" s="852"/>
      <c r="J17" s="850" t="s">
        <v>343</v>
      </c>
      <c r="K17" s="862">
        <f>SUM(K15/$B$2)</f>
        <v>0.23139599999999999</v>
      </c>
    </row>
    <row r="18" spans="1:11" ht="16.5" customHeight="1">
      <c r="A18" s="866" t="s">
        <v>589</v>
      </c>
      <c r="B18" s="867"/>
      <c r="C18" s="825"/>
      <c r="D18" s="848" t="str">
        <f>$A$9</f>
        <v>Medicare - .0145</v>
      </c>
      <c r="E18" s="868">
        <f>$B$9</f>
        <v>87</v>
      </c>
      <c r="F18" s="852"/>
      <c r="G18" s="848" t="str">
        <f>$A$9</f>
        <v>Medicare - .0145</v>
      </c>
      <c r="H18" s="868">
        <f>$B$9</f>
        <v>87</v>
      </c>
      <c r="I18" s="852"/>
      <c r="J18" s="924" t="s">
        <v>233</v>
      </c>
      <c r="K18" s="836">
        <f>$B$8</f>
        <v>372</v>
      </c>
    </row>
    <row r="19" spans="1:11" s="237" customFormat="1" ht="16.5" customHeight="1">
      <c r="A19" s="869" t="s">
        <v>590</v>
      </c>
      <c r="B19" s="870"/>
      <c r="C19" s="871"/>
      <c r="D19" s="872" t="s">
        <v>356</v>
      </c>
      <c r="E19" s="873">
        <f>SUM(B2*0.075)</f>
        <v>450</v>
      </c>
      <c r="F19" s="874"/>
      <c r="G19" s="872" t="s">
        <v>356</v>
      </c>
      <c r="H19" s="873">
        <f>SUM($B$2*0.075)</f>
        <v>450</v>
      </c>
      <c r="I19" s="874"/>
      <c r="J19" s="848" t="str">
        <f>$A$9</f>
        <v>Medicare - .0145</v>
      </c>
      <c r="K19" s="875">
        <f>$B$9</f>
        <v>87</v>
      </c>
    </row>
    <row r="20" spans="1:11" ht="16.5" customHeight="1">
      <c r="A20" s="869" t="s">
        <v>591</v>
      </c>
      <c r="B20" s="870"/>
      <c r="C20" s="825"/>
      <c r="D20" s="848" t="str">
        <f>$A$11</f>
        <v>Unempl - .005</v>
      </c>
      <c r="E20" s="868">
        <f>$B$11</f>
        <v>30</v>
      </c>
      <c r="F20" s="852"/>
      <c r="G20" s="848" t="str">
        <f>$A$11</f>
        <v>Unempl - .005</v>
      </c>
      <c r="H20" s="868">
        <f>$B$11</f>
        <v>30</v>
      </c>
      <c r="I20" s="852"/>
      <c r="J20" s="876" t="s">
        <v>355</v>
      </c>
      <c r="K20" s="839">
        <f>SUM($B$2*0.119)</f>
        <v>714</v>
      </c>
    </row>
    <row r="21" spans="1:11" ht="16.5" customHeight="1" thickBot="1">
      <c r="A21" s="877" t="s">
        <v>592</v>
      </c>
      <c r="B21" s="878"/>
      <c r="C21" s="825"/>
      <c r="D21" s="846" t="str">
        <f>$A$12</f>
        <v>Med. Aid  - .18985 x 160</v>
      </c>
      <c r="E21" s="868">
        <f>$B$12</f>
        <v>30.375999999999998</v>
      </c>
      <c r="F21" s="852"/>
      <c r="G21" s="846" t="str">
        <f>$A$12</f>
        <v>Med. Aid  - .18985 x 160</v>
      </c>
      <c r="H21" s="868">
        <f>$B$12</f>
        <v>30.375999999999998</v>
      </c>
      <c r="I21" s="852"/>
      <c r="J21" s="879" t="s">
        <v>239</v>
      </c>
      <c r="K21" s="839">
        <f>SUM(B2*0.05)</f>
        <v>300</v>
      </c>
    </row>
    <row r="22" spans="1:11" ht="16.5" customHeight="1">
      <c r="A22" s="1487" t="s">
        <v>593</v>
      </c>
      <c r="B22" s="1488"/>
      <c r="C22" s="825"/>
      <c r="D22" s="848" t="str">
        <f>$A$13</f>
        <v>Health</v>
      </c>
      <c r="E22" s="851">
        <f>$B$13</f>
        <v>809</v>
      </c>
      <c r="F22" s="852"/>
      <c r="G22" s="848" t="str">
        <f>$A$13</f>
        <v>Health</v>
      </c>
      <c r="H22" s="849">
        <f>$B$13</f>
        <v>809</v>
      </c>
      <c r="I22" s="852"/>
      <c r="J22" s="848" t="str">
        <f>$A$11</f>
        <v>Unempl - .005</v>
      </c>
      <c r="K22" s="839">
        <f>$B$11</f>
        <v>30</v>
      </c>
    </row>
    <row r="23" spans="1:11" ht="15" customHeight="1">
      <c r="A23" s="880" t="s">
        <v>605</v>
      </c>
      <c r="B23" s="881">
        <f>B12*0.5</f>
        <v>15.187999999999999</v>
      </c>
      <c r="C23" s="825"/>
      <c r="D23" s="848" t="s">
        <v>237</v>
      </c>
      <c r="E23" s="882">
        <f>SUM(E17:E22)</f>
        <v>1778.376</v>
      </c>
      <c r="F23" s="852"/>
      <c r="G23" s="848" t="s">
        <v>237</v>
      </c>
      <c r="H23" s="883">
        <f>SUM(H17:H22)</f>
        <v>1778.376</v>
      </c>
      <c r="I23" s="852"/>
      <c r="J23" s="846" t="str">
        <f>$A$12</f>
        <v>Med. Aid  - .18985 x 160</v>
      </c>
      <c r="K23" s="839">
        <f>$B$12</f>
        <v>30.375999999999998</v>
      </c>
    </row>
    <row r="24" spans="1:11" ht="16.5" customHeight="1">
      <c r="A24" s="884" t="s">
        <v>357</v>
      </c>
      <c r="B24" s="885">
        <v>194</v>
      </c>
      <c r="C24" s="825"/>
      <c r="D24" s="848"/>
      <c r="E24" s="882"/>
      <c r="F24" s="852"/>
      <c r="G24" s="848"/>
      <c r="H24" s="883"/>
      <c r="I24" s="852"/>
      <c r="J24" s="848" t="s">
        <v>354</v>
      </c>
      <c r="K24" s="839">
        <f>$K$13</f>
        <v>12</v>
      </c>
    </row>
    <row r="25" spans="1:11" ht="16.5" customHeight="1">
      <c r="A25" s="886" t="s">
        <v>237</v>
      </c>
      <c r="B25" s="887">
        <f>SUM(B23:B24)</f>
        <v>209.18799999999999</v>
      </c>
      <c r="C25" s="825"/>
      <c r="D25" s="860" t="s">
        <v>343</v>
      </c>
      <c r="E25" s="888">
        <f>SUM(E23/B2)</f>
        <v>0.29639599999999999</v>
      </c>
      <c r="F25" s="852"/>
      <c r="G25" s="860" t="s">
        <v>343</v>
      </c>
      <c r="H25" s="862">
        <f>SUM(H23/B2)</f>
        <v>0.29639599999999999</v>
      </c>
      <c r="I25" s="852"/>
      <c r="J25" s="848" t="str">
        <f>$A$13</f>
        <v>Health</v>
      </c>
      <c r="K25" s="889">
        <f>$B$13</f>
        <v>809</v>
      </c>
    </row>
    <row r="26" spans="1:11" ht="16.5" customHeight="1">
      <c r="A26" s="886"/>
      <c r="B26" s="890"/>
      <c r="C26" s="825"/>
      <c r="D26" s="924" t="str">
        <f>$A$8</f>
        <v>OASI - .062</v>
      </c>
      <c r="E26" s="865">
        <f>$B$8</f>
        <v>372</v>
      </c>
      <c r="F26" s="852"/>
      <c r="G26" s="924" t="str">
        <f>$A$8</f>
        <v>OASI - .062</v>
      </c>
      <c r="H26" s="865">
        <f>$B$8</f>
        <v>372</v>
      </c>
      <c r="I26" s="852"/>
      <c r="J26" s="848" t="s">
        <v>237</v>
      </c>
      <c r="K26" s="854">
        <f>SUM(K18:K25)</f>
        <v>2354.3760000000002</v>
      </c>
    </row>
    <row r="27" spans="1:11" ht="16.5" customHeight="1">
      <c r="A27" s="891" t="s">
        <v>343</v>
      </c>
      <c r="B27" s="892">
        <f>B25/B2</f>
        <v>3.4864666666666662E-2</v>
      </c>
      <c r="C27" s="825"/>
      <c r="D27" s="848" t="str">
        <f>$A$9</f>
        <v>Medicare - .0145</v>
      </c>
      <c r="E27" s="868">
        <f>$B$9</f>
        <v>87</v>
      </c>
      <c r="F27" s="852"/>
      <c r="G27" s="848" t="str">
        <f>$A$9</f>
        <v>Medicare - .0145</v>
      </c>
      <c r="H27" s="868">
        <f>$B$9</f>
        <v>87</v>
      </c>
      <c r="I27" s="852"/>
      <c r="J27" s="893"/>
      <c r="K27" s="894"/>
    </row>
    <row r="28" spans="1:11" s="237" customFormat="1" ht="16.5" customHeight="1">
      <c r="A28" s="1489" t="s">
        <v>594</v>
      </c>
      <c r="B28" s="1490"/>
      <c r="C28" s="871"/>
      <c r="D28" s="895" t="s">
        <v>353</v>
      </c>
      <c r="E28" s="873">
        <f>SUM(B2*0.1)</f>
        <v>600</v>
      </c>
      <c r="F28" s="874"/>
      <c r="G28" s="895" t="s">
        <v>353</v>
      </c>
      <c r="H28" s="873">
        <f>SUM($B$2*0.1)</f>
        <v>600</v>
      </c>
      <c r="I28" s="874"/>
      <c r="J28" s="860" t="s">
        <v>343</v>
      </c>
      <c r="K28" s="896">
        <f>SUM(K26/$B$2)</f>
        <v>0.39239600000000002</v>
      </c>
    </row>
    <row r="29" spans="1:11" ht="16.5" customHeight="1">
      <c r="A29" s="880" t="s">
        <v>8</v>
      </c>
      <c r="B29" s="881">
        <v>1009.78</v>
      </c>
      <c r="C29" s="825"/>
      <c r="D29" s="848" t="str">
        <f>$A$11</f>
        <v>Unempl - .005</v>
      </c>
      <c r="E29" s="868">
        <f>$B$11</f>
        <v>30</v>
      </c>
      <c r="F29" s="852"/>
      <c r="G29" s="848" t="str">
        <f>$A$11</f>
        <v>Unempl - .005</v>
      </c>
      <c r="H29" s="868">
        <f>$B$11</f>
        <v>30</v>
      </c>
      <c r="I29" s="852"/>
      <c r="J29" s="897" t="s">
        <v>352</v>
      </c>
      <c r="K29" s="825"/>
    </row>
    <row r="30" spans="1:11" ht="16.5" customHeight="1">
      <c r="A30" s="880" t="s">
        <v>605</v>
      </c>
      <c r="B30" s="881">
        <f>B23*0.5</f>
        <v>7.5939999999999994</v>
      </c>
      <c r="C30" s="825"/>
      <c r="D30" s="846" t="str">
        <f>$A$12</f>
        <v>Med. Aid  - .18985 x 160</v>
      </c>
      <c r="E30" s="868">
        <f>$B$12</f>
        <v>30.375999999999998</v>
      </c>
      <c r="F30" s="852"/>
      <c r="G30" s="846" t="str">
        <f>$A$12</f>
        <v>Med. Aid  - .18985 x 160</v>
      </c>
      <c r="H30" s="868">
        <f>$B$12</f>
        <v>30.375999999999998</v>
      </c>
      <c r="I30" s="852"/>
      <c r="J30" s="825" t="s">
        <v>351</v>
      </c>
      <c r="K30" s="825"/>
    </row>
    <row r="31" spans="1:11" ht="17.25" customHeight="1">
      <c r="A31" s="884" t="s">
        <v>357</v>
      </c>
      <c r="B31" s="885">
        <v>194</v>
      </c>
      <c r="C31" s="825"/>
      <c r="D31" s="848" t="str">
        <f>$A$13</f>
        <v>Health</v>
      </c>
      <c r="E31" s="849">
        <f>$B$13</f>
        <v>809</v>
      </c>
      <c r="F31" s="852"/>
      <c r="G31" s="848" t="str">
        <f>$A$13</f>
        <v>Health</v>
      </c>
      <c r="H31" s="898">
        <f>$B$13</f>
        <v>809</v>
      </c>
      <c r="I31" s="852"/>
      <c r="J31" s="825" t="s">
        <v>350</v>
      </c>
      <c r="K31" s="825"/>
    </row>
    <row r="32" spans="1:11" ht="16.5" customHeight="1">
      <c r="A32" s="886" t="s">
        <v>237</v>
      </c>
      <c r="B32" s="887">
        <f>SUM(B29:B31)</f>
        <v>1211.374</v>
      </c>
      <c r="C32" s="825"/>
      <c r="D32" s="838" t="s">
        <v>237</v>
      </c>
      <c r="E32" s="899">
        <f>SUM(E26:E31)</f>
        <v>1928.376</v>
      </c>
      <c r="F32" s="852"/>
      <c r="G32" s="838" t="s">
        <v>237</v>
      </c>
      <c r="H32" s="900">
        <f>SUM(H26:H31)</f>
        <v>1928.376</v>
      </c>
      <c r="I32" s="852"/>
      <c r="J32" s="825"/>
      <c r="K32" s="825"/>
    </row>
    <row r="33" spans="1:11" ht="16.5" customHeight="1">
      <c r="A33" s="886"/>
      <c r="B33" s="890"/>
      <c r="C33" s="825"/>
      <c r="D33" s="838"/>
      <c r="E33" s="854"/>
      <c r="F33" s="852"/>
      <c r="G33" s="838"/>
      <c r="H33" s="857"/>
      <c r="I33" s="852"/>
      <c r="J33" s="825"/>
      <c r="K33" s="825"/>
    </row>
    <row r="34" spans="1:11" ht="16.5" customHeight="1">
      <c r="A34" s="891" t="s">
        <v>343</v>
      </c>
      <c r="B34" s="892">
        <f>B32/B2</f>
        <v>0.20189566666666667</v>
      </c>
      <c r="C34" s="825"/>
      <c r="D34" s="901" t="s">
        <v>343</v>
      </c>
      <c r="E34" s="888">
        <f>SUM(E32/B2)</f>
        <v>0.32139600000000002</v>
      </c>
      <c r="F34" s="852"/>
      <c r="G34" s="901" t="s">
        <v>343</v>
      </c>
      <c r="H34" s="888">
        <f>SUM(H32/B2)</f>
        <v>0.32139600000000002</v>
      </c>
      <c r="I34" s="852"/>
      <c r="J34" s="902"/>
      <c r="K34" s="825"/>
    </row>
    <row r="35" spans="1:11" ht="16.5" customHeight="1">
      <c r="A35" s="825"/>
      <c r="B35" s="825"/>
      <c r="C35" s="825"/>
      <c r="D35" s="903"/>
      <c r="E35" s="904"/>
      <c r="F35" s="852"/>
      <c r="G35" s="903"/>
      <c r="H35" s="905"/>
      <c r="I35" s="852"/>
      <c r="J35" s="825"/>
      <c r="K35" s="825"/>
    </row>
    <row r="36" spans="1:11" ht="16.5" customHeight="1">
      <c r="A36" s="825"/>
      <c r="B36" s="825"/>
      <c r="C36" s="825"/>
      <c r="D36" s="906" t="s">
        <v>349</v>
      </c>
      <c r="E36" s="907"/>
      <c r="F36" s="825"/>
      <c r="G36" s="906" t="s">
        <v>348</v>
      </c>
      <c r="H36" s="908"/>
      <c r="I36" s="825"/>
      <c r="J36" s="825"/>
      <c r="K36" s="909"/>
    </row>
    <row r="37" spans="1:11" ht="16.5" customHeight="1">
      <c r="A37" s="825"/>
      <c r="B37" s="825"/>
      <c r="C37" s="825"/>
      <c r="D37" s="833" t="s">
        <v>347</v>
      </c>
      <c r="E37" s="910" t="s">
        <v>230</v>
      </c>
      <c r="F37" s="825"/>
      <c r="G37" s="833" t="s">
        <v>346</v>
      </c>
      <c r="H37" s="911"/>
      <c r="I37" s="825"/>
      <c r="J37" s="825"/>
      <c r="K37" s="825"/>
    </row>
    <row r="38" spans="1:11" ht="16.5" customHeight="1">
      <c r="A38" s="825"/>
      <c r="B38" s="825"/>
      <c r="C38" s="825"/>
      <c r="D38" s="925" t="str">
        <f>A8</f>
        <v>OASI - .062</v>
      </c>
      <c r="E38" s="865">
        <f>$B$8</f>
        <v>372</v>
      </c>
      <c r="F38" s="825"/>
      <c r="G38" s="925" t="str">
        <f>A8</f>
        <v>OASI - .062</v>
      </c>
      <c r="H38" s="912">
        <f>B8</f>
        <v>372</v>
      </c>
      <c r="I38" s="825"/>
      <c r="J38" s="825"/>
      <c r="K38" s="825"/>
    </row>
    <row r="39" spans="1:11" ht="16.5" customHeight="1">
      <c r="A39" s="825"/>
      <c r="B39" s="825"/>
      <c r="C39" s="825"/>
      <c r="D39" s="840" t="str">
        <f>A9</f>
        <v>Medicare - .0145</v>
      </c>
      <c r="E39" s="868">
        <f>$B$9</f>
        <v>87</v>
      </c>
      <c r="F39" s="825"/>
      <c r="G39" s="840" t="str">
        <f>A9</f>
        <v>Medicare - .0145</v>
      </c>
      <c r="H39" s="841">
        <f>SUM(B2*0.0145)</f>
        <v>87</v>
      </c>
      <c r="I39" s="825"/>
      <c r="J39" s="825"/>
      <c r="K39" s="825"/>
    </row>
    <row r="40" spans="1:11" ht="16.5" customHeight="1">
      <c r="A40" s="825"/>
      <c r="B40" s="825"/>
      <c r="C40" s="825"/>
      <c r="D40" s="913" t="s">
        <v>345</v>
      </c>
      <c r="E40" s="841">
        <f>$B$10</f>
        <v>434.99999999999994</v>
      </c>
      <c r="F40" s="825"/>
      <c r="G40" s="876" t="s">
        <v>344</v>
      </c>
      <c r="H40" s="841">
        <f>SUM(B2*0.0804)</f>
        <v>482.4</v>
      </c>
      <c r="I40" s="825"/>
      <c r="J40" s="825"/>
      <c r="K40" s="825"/>
    </row>
    <row r="41" spans="1:11" ht="16.5" customHeight="1">
      <c r="A41" s="825"/>
      <c r="B41" s="825"/>
      <c r="C41" s="825"/>
      <c r="D41" s="840" t="str">
        <f>A11</f>
        <v>Unempl - .005</v>
      </c>
      <c r="E41" s="868">
        <f>$B$11</f>
        <v>30</v>
      </c>
      <c r="F41" s="825"/>
      <c r="G41" s="840" t="str">
        <f t="shared" ref="G41:H43" si="0">A11</f>
        <v>Unempl - .005</v>
      </c>
      <c r="H41" s="841">
        <f t="shared" si="0"/>
        <v>30</v>
      </c>
      <c r="I41" s="825"/>
      <c r="J41" s="825"/>
      <c r="K41" s="825"/>
    </row>
    <row r="42" spans="1:11" ht="16.5" customHeight="1">
      <c r="A42" s="825"/>
      <c r="B42" s="825"/>
      <c r="C42" s="825"/>
      <c r="D42" s="914" t="str">
        <f>A12</f>
        <v>Med. Aid  - .18985 x 160</v>
      </c>
      <c r="E42" s="868">
        <f>$B$12</f>
        <v>30.375999999999998</v>
      </c>
      <c r="F42" s="825"/>
      <c r="G42" s="914" t="str">
        <f t="shared" si="0"/>
        <v>Med. Aid  - .18985 x 160</v>
      </c>
      <c r="H42" s="841">
        <f t="shared" si="0"/>
        <v>30.375999999999998</v>
      </c>
      <c r="I42" s="825"/>
      <c r="J42" s="825"/>
      <c r="K42" s="825"/>
    </row>
    <row r="43" spans="1:11" ht="16.5" customHeight="1">
      <c r="A43" s="825"/>
      <c r="B43" s="825"/>
      <c r="C43" s="825"/>
      <c r="D43" s="850" t="str">
        <f>A13</f>
        <v>Health</v>
      </c>
      <c r="E43" s="849">
        <f>$B$13</f>
        <v>809</v>
      </c>
      <c r="F43" s="825"/>
      <c r="G43" s="850" t="str">
        <f t="shared" si="0"/>
        <v>Health</v>
      </c>
      <c r="H43" s="915">
        <f t="shared" si="0"/>
        <v>809</v>
      </c>
      <c r="I43" s="825"/>
      <c r="J43" s="825"/>
      <c r="K43" s="825"/>
    </row>
    <row r="44" spans="1:11" ht="16.5" customHeight="1">
      <c r="A44" s="825"/>
      <c r="B44" s="825"/>
      <c r="C44" s="825"/>
      <c r="D44" s="840" t="str">
        <f>A14</f>
        <v>TOTAL BENEFITS</v>
      </c>
      <c r="E44" s="837">
        <f>SUM(E38:E43)</f>
        <v>1763.376</v>
      </c>
      <c r="F44" s="825"/>
      <c r="G44" s="840" t="s">
        <v>237</v>
      </c>
      <c r="H44" s="916">
        <f>SUM(H38:H43)</f>
        <v>1810.7759999999998</v>
      </c>
      <c r="I44" s="825"/>
      <c r="J44" s="825"/>
      <c r="K44" s="825"/>
    </row>
    <row r="45" spans="1:11" ht="16.5" customHeight="1">
      <c r="A45" s="825"/>
      <c r="B45" s="825"/>
      <c r="C45" s="825"/>
      <c r="D45" s="840"/>
      <c r="E45" s="841"/>
      <c r="F45" s="825"/>
      <c r="G45" s="917"/>
      <c r="H45" s="918"/>
      <c r="I45" s="825"/>
      <c r="J45" s="825"/>
      <c r="K45" s="825"/>
    </row>
    <row r="46" spans="1:11" ht="16.5" customHeight="1">
      <c r="A46" s="825"/>
      <c r="B46" s="825"/>
      <c r="C46" s="825"/>
      <c r="D46" s="919" t="s">
        <v>343</v>
      </c>
      <c r="E46" s="920">
        <f>SUM(E44/B2)</f>
        <v>0.29389599999999999</v>
      </c>
      <c r="F46" s="825"/>
      <c r="G46" s="919" t="s">
        <v>238</v>
      </c>
      <c r="H46" s="921">
        <f>SUM(H44/B2)</f>
        <v>0.30179599999999995</v>
      </c>
      <c r="I46" s="825"/>
      <c r="J46" s="825"/>
      <c r="K46" s="825"/>
    </row>
    <row r="47" spans="1:11">
      <c r="A47" s="902"/>
      <c r="B47" s="825"/>
      <c r="C47" s="825"/>
      <c r="D47" s="825"/>
      <c r="E47" s="826"/>
      <c r="F47" s="825"/>
      <c r="G47" s="825"/>
      <c r="H47" s="825"/>
      <c r="I47" s="825"/>
      <c r="J47" s="825"/>
      <c r="K47" s="825"/>
    </row>
    <row r="48" spans="1:11">
      <c r="A48" s="825" t="s">
        <v>342</v>
      </c>
      <c r="B48" s="825"/>
      <c r="C48" s="825"/>
      <c r="D48" s="825"/>
      <c r="E48" s="826"/>
      <c r="F48" s="825"/>
      <c r="G48" s="825"/>
      <c r="H48" s="825"/>
      <c r="I48" s="825"/>
      <c r="J48" s="825"/>
      <c r="K48" s="825"/>
    </row>
    <row r="49" spans="1:11">
      <c r="A49" s="825" t="s">
        <v>606</v>
      </c>
      <c r="B49" s="825"/>
      <c r="C49" s="825"/>
      <c r="D49" s="825"/>
      <c r="E49" s="826"/>
      <c r="F49" s="825"/>
      <c r="G49" s="825"/>
      <c r="H49" s="825"/>
      <c r="I49" s="825"/>
      <c r="J49" s="825"/>
      <c r="K49" s="825"/>
    </row>
    <row r="50" spans="1:11">
      <c r="A50" s="195"/>
    </row>
  </sheetData>
  <mergeCells count="10">
    <mergeCell ref="H2:K2"/>
    <mergeCell ref="H3:K3"/>
    <mergeCell ref="A22:B22"/>
    <mergeCell ref="A28:B28"/>
    <mergeCell ref="A3:B3"/>
    <mergeCell ref="A5:K5"/>
    <mergeCell ref="A6:B6"/>
    <mergeCell ref="D6:E6"/>
    <mergeCell ref="G6:H6"/>
    <mergeCell ref="J6:K6"/>
  </mergeCells>
  <printOptions horizontalCentered="1"/>
  <pageMargins left="0.5" right="0.25" top="0.5" bottom="0.5" header="0.5" footer="0.35"/>
  <pageSetup scale="68" orientation="landscape" r:id="rId1"/>
  <headerFooter alignWithMargins="0">
    <oddFooter>&amp;L&amp;9&amp;Z&amp;F  &amp;D&amp;T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A1" transitionEvaluation="1">
    <pageSetUpPr fitToPage="1"/>
  </sheetPr>
  <dimension ref="A1:K48"/>
  <sheetViews>
    <sheetView showGridLines="0" workbookViewId="0">
      <selection activeCell="A5" sqref="A5:K5"/>
    </sheetView>
  </sheetViews>
  <sheetFormatPr defaultColWidth="9.7109375" defaultRowHeight="15.75"/>
  <cols>
    <col min="1" max="1" width="23.7109375" style="193" customWidth="1"/>
    <col min="2" max="2" width="13.7109375" style="193" bestFit="1" customWidth="1"/>
    <col min="3" max="3" width="2.7109375" style="193" customWidth="1"/>
    <col min="4" max="4" width="32.28515625" style="193" customWidth="1"/>
    <col min="5" max="5" width="12.5703125" style="194" customWidth="1"/>
    <col min="6" max="6" width="2.7109375" style="193" customWidth="1"/>
    <col min="7" max="7" width="32.28515625" style="193" customWidth="1"/>
    <col min="8" max="8" width="12.5703125" style="193" customWidth="1"/>
    <col min="9" max="9" width="2.7109375" style="193" customWidth="1"/>
    <col min="10" max="10" width="24.28515625" style="193" customWidth="1"/>
    <col min="11" max="11" width="12.5703125" style="193" customWidth="1"/>
    <col min="12" max="16384" width="9.7109375" style="193"/>
  </cols>
  <sheetData>
    <row r="1" spans="1:11">
      <c r="A1" s="237"/>
      <c r="G1" s="280"/>
    </row>
    <row r="2" spans="1:11" ht="18.75">
      <c r="A2" s="279" t="s">
        <v>368</v>
      </c>
      <c r="B2" s="540">
        <v>3353.4</v>
      </c>
      <c r="F2" s="278" t="s">
        <v>229</v>
      </c>
      <c r="G2" s="277"/>
    </row>
    <row r="3" spans="1:11" ht="33" customHeight="1">
      <c r="A3" s="1500" t="s">
        <v>367</v>
      </c>
      <c r="B3" s="1501"/>
      <c r="D3" s="274"/>
      <c r="F3" s="276" t="s">
        <v>366</v>
      </c>
      <c r="G3" s="274"/>
    </row>
    <row r="4" spans="1:11" ht="9" customHeight="1">
      <c r="A4" s="275"/>
      <c r="B4" s="275"/>
      <c r="D4" s="274"/>
      <c r="G4" s="274"/>
    </row>
    <row r="5" spans="1:11">
      <c r="A5" s="1502" t="s">
        <v>365</v>
      </c>
      <c r="B5" s="1503"/>
      <c r="C5" s="1503"/>
      <c r="D5" s="1503"/>
      <c r="E5" s="1503"/>
      <c r="F5" s="1503"/>
      <c r="G5" s="1503"/>
      <c r="H5" s="1503"/>
      <c r="I5" s="1503"/>
      <c r="J5" s="1503"/>
      <c r="K5" s="1504"/>
    </row>
    <row r="6" spans="1:11" ht="16.5" customHeight="1">
      <c r="A6" s="1498" t="s">
        <v>364</v>
      </c>
      <c r="B6" s="1499"/>
      <c r="D6" s="1498" t="s">
        <v>363</v>
      </c>
      <c r="E6" s="1499"/>
      <c r="G6" s="1498" t="s">
        <v>105</v>
      </c>
      <c r="H6" s="1499"/>
      <c r="J6" s="1498" t="s">
        <v>362</v>
      </c>
      <c r="K6" s="1499"/>
    </row>
    <row r="7" spans="1:11" ht="16.5" customHeight="1">
      <c r="A7" s="273" t="s">
        <v>361</v>
      </c>
      <c r="B7" s="272" t="s">
        <v>230</v>
      </c>
      <c r="D7" s="216" t="s">
        <v>231</v>
      </c>
      <c r="E7" s="271" t="s">
        <v>108</v>
      </c>
      <c r="G7" s="216" t="s">
        <v>231</v>
      </c>
      <c r="H7" s="270" t="s">
        <v>108</v>
      </c>
      <c r="J7" s="216" t="s">
        <v>232</v>
      </c>
      <c r="K7" s="270" t="s">
        <v>108</v>
      </c>
    </row>
    <row r="8" spans="1:11">
      <c r="A8" s="269" t="s">
        <v>233</v>
      </c>
      <c r="B8" s="256">
        <f>SUM(B2*0.062)</f>
        <v>207.91079999999999</v>
      </c>
      <c r="D8" s="213" t="str">
        <f>$A$8</f>
        <v>OASI - .062</v>
      </c>
      <c r="E8" s="204">
        <f>$B$8</f>
        <v>207.91079999999999</v>
      </c>
      <c r="G8" s="213" t="str">
        <f>$A$8</f>
        <v>OASI - .062</v>
      </c>
      <c r="H8" s="204">
        <f>$B$8</f>
        <v>207.91079999999999</v>
      </c>
      <c r="J8" s="213" t="s">
        <v>234</v>
      </c>
      <c r="K8" s="204">
        <v>0</v>
      </c>
    </row>
    <row r="9" spans="1:11" ht="16.5" customHeight="1">
      <c r="A9" s="229" t="s">
        <v>235</v>
      </c>
      <c r="B9" s="249">
        <f>SUM(B2*0.0145)</f>
        <v>48.624300000000005</v>
      </c>
      <c r="D9" s="202" t="str">
        <f>$A$9</f>
        <v>Medicare - .0145</v>
      </c>
      <c r="E9" s="201">
        <f>$B$9</f>
        <v>48.624300000000005</v>
      </c>
      <c r="G9" s="202" t="str">
        <f>$A$9</f>
        <v>Medicare - .0145</v>
      </c>
      <c r="H9" s="201">
        <f>$B$9</f>
        <v>48.624300000000005</v>
      </c>
      <c r="J9" s="202" t="str">
        <f>$A$9</f>
        <v>Medicare - .0145</v>
      </c>
      <c r="K9" s="201">
        <f>$B$9</f>
        <v>48.624300000000005</v>
      </c>
    </row>
    <row r="10" spans="1:11" s="265" customFormat="1" ht="16.5" customHeight="1">
      <c r="A10" s="267" t="s">
        <v>360</v>
      </c>
      <c r="B10" s="268">
        <f>SUM(B2*0.0725)</f>
        <v>243.1215</v>
      </c>
      <c r="D10" s="267" t="s">
        <v>359</v>
      </c>
      <c r="E10" s="266">
        <f>SUM(B2*0.05)</f>
        <v>167.67000000000002</v>
      </c>
      <c r="G10" s="267" t="s">
        <v>359</v>
      </c>
      <c r="H10" s="266">
        <f>SUM($B$2*0.05)</f>
        <v>167.67000000000002</v>
      </c>
      <c r="J10" s="267" t="s">
        <v>236</v>
      </c>
      <c r="K10" s="266">
        <f>SUM($B$2*0.07)</f>
        <v>234.73800000000003</v>
      </c>
    </row>
    <row r="11" spans="1:11" ht="16.5" customHeight="1">
      <c r="A11" s="229" t="s">
        <v>358</v>
      </c>
      <c r="B11" s="249">
        <f>SUM(B2*0.005)</f>
        <v>16.766999999999999</v>
      </c>
      <c r="D11" s="202" t="str">
        <f>$A$11</f>
        <v>Unempl - .005</v>
      </c>
      <c r="E11" s="201">
        <f>$B$11</f>
        <v>16.766999999999999</v>
      </c>
      <c r="G11" s="202" t="str">
        <f>$A$11</f>
        <v>Unempl - .005</v>
      </c>
      <c r="H11" s="201">
        <f>$B$11</f>
        <v>16.766999999999999</v>
      </c>
      <c r="J11" s="202" t="str">
        <f>$A$11</f>
        <v>Unempl - .005</v>
      </c>
      <c r="K11" s="201">
        <f>$B$11</f>
        <v>16.766999999999999</v>
      </c>
    </row>
    <row r="12" spans="1:11" ht="16.5" customHeight="1">
      <c r="A12" s="235" t="s">
        <v>263</v>
      </c>
      <c r="B12" s="249">
        <f>160*0.2113</f>
        <v>33.808</v>
      </c>
      <c r="D12" s="264" t="str">
        <f>$A$12</f>
        <v>Med. Aid  - .2113 x 160</v>
      </c>
      <c r="E12" s="201">
        <f>$B$12</f>
        <v>33.808</v>
      </c>
      <c r="G12" s="264" t="str">
        <f>$A$12</f>
        <v>Med. Aid  - .2113 x 160</v>
      </c>
      <c r="H12" s="201">
        <f>$B$12</f>
        <v>33.808</v>
      </c>
      <c r="J12" s="264" t="str">
        <f>$A$12</f>
        <v>Med. Aid  - .2113 x 160</v>
      </c>
      <c r="K12" s="201">
        <f>$B$12</f>
        <v>33.808</v>
      </c>
    </row>
    <row r="13" spans="1:11" ht="16.5" customHeight="1">
      <c r="A13" s="234" t="s">
        <v>357</v>
      </c>
      <c r="B13" s="207">
        <v>850</v>
      </c>
      <c r="D13" s="206" t="str">
        <f>$A$13</f>
        <v>Health</v>
      </c>
      <c r="E13" s="252">
        <f>$B$13</f>
        <v>850</v>
      </c>
      <c r="F13" s="222"/>
      <c r="G13" s="206" t="str">
        <f>$A$13</f>
        <v>Health</v>
      </c>
      <c r="H13" s="262">
        <f>$B$13</f>
        <v>850</v>
      </c>
      <c r="I13" s="222"/>
      <c r="J13" s="206" t="s">
        <v>354</v>
      </c>
      <c r="K13" s="201">
        <v>12</v>
      </c>
    </row>
    <row r="14" spans="1:11" ht="16.5" customHeight="1">
      <c r="A14" s="229" t="s">
        <v>237</v>
      </c>
      <c r="B14" s="230">
        <f>SUM(B8:B13)</f>
        <v>1400.2316000000001</v>
      </c>
      <c r="D14" s="206" t="s">
        <v>237</v>
      </c>
      <c r="E14" s="263">
        <f>SUM(E8:E13)</f>
        <v>1324.7800999999999</v>
      </c>
      <c r="F14" s="222"/>
      <c r="G14" s="206" t="s">
        <v>237</v>
      </c>
      <c r="H14" s="260">
        <f>SUM(H8:H13)</f>
        <v>1324.7800999999999</v>
      </c>
      <c r="I14" s="222"/>
      <c r="J14" s="206" t="str">
        <f>$A$13</f>
        <v>Health</v>
      </c>
      <c r="K14" s="262">
        <f>$B$13</f>
        <v>850</v>
      </c>
    </row>
    <row r="15" spans="1:11" ht="16.5" customHeight="1">
      <c r="A15" s="229"/>
      <c r="B15" s="228"/>
      <c r="D15" s="206"/>
      <c r="E15" s="261"/>
      <c r="F15" s="222"/>
      <c r="G15" s="206"/>
      <c r="H15" s="260"/>
      <c r="I15" s="222"/>
      <c r="J15" s="206" t="s">
        <v>237</v>
      </c>
      <c r="K15" s="204">
        <f>SUM(K8:K14)</f>
        <v>1195.9373000000001</v>
      </c>
    </row>
    <row r="16" spans="1:11" ht="16.5" customHeight="1">
      <c r="A16" s="239" t="s">
        <v>343</v>
      </c>
      <c r="B16" s="259">
        <f>SUM(B14/B2)</f>
        <v>0.41755579411940119</v>
      </c>
      <c r="D16" s="206" t="s">
        <v>343</v>
      </c>
      <c r="E16" s="248">
        <f>SUM(E14/B2)</f>
        <v>0.39505579411940117</v>
      </c>
      <c r="F16" s="222"/>
      <c r="G16" s="206" t="s">
        <v>343</v>
      </c>
      <c r="H16" s="248">
        <f>SUM(H14/B2)</f>
        <v>0.39505579411940117</v>
      </c>
      <c r="I16" s="222"/>
      <c r="J16" s="258"/>
      <c r="K16" s="257"/>
    </row>
    <row r="17" spans="1:11" ht="16.5" customHeight="1">
      <c r="D17" s="246" t="str">
        <f>$A$8</f>
        <v>OASI - .062</v>
      </c>
      <c r="E17" s="214">
        <f>$B$8</f>
        <v>207.91079999999999</v>
      </c>
      <c r="F17" s="222"/>
      <c r="G17" s="246" t="str">
        <f>$A$8</f>
        <v>OASI - .062</v>
      </c>
      <c r="H17" s="214">
        <f>$B$8</f>
        <v>207.91079999999999</v>
      </c>
      <c r="I17" s="222"/>
      <c r="J17" s="206" t="s">
        <v>343</v>
      </c>
      <c r="K17" s="248">
        <f>SUM(K15/$B$2)</f>
        <v>0.3566342518041391</v>
      </c>
    </row>
    <row r="18" spans="1:11" ht="16.5" customHeight="1">
      <c r="D18" s="234" t="str">
        <f>$A$9</f>
        <v>Medicare - .0145</v>
      </c>
      <c r="E18" s="209">
        <f>$B$9</f>
        <v>48.624300000000005</v>
      </c>
      <c r="F18" s="222"/>
      <c r="G18" s="234" t="str">
        <f>$A$9</f>
        <v>Medicare - .0145</v>
      </c>
      <c r="H18" s="209">
        <f>$B$9</f>
        <v>48.624300000000005</v>
      </c>
      <c r="I18" s="222"/>
      <c r="J18" s="246" t="s">
        <v>233</v>
      </c>
      <c r="K18" s="256">
        <f>$B$8</f>
        <v>207.91079999999999</v>
      </c>
    </row>
    <row r="19" spans="1:11" s="237" customFormat="1" ht="16.5" customHeight="1">
      <c r="D19" s="255" t="s">
        <v>356</v>
      </c>
      <c r="E19" s="241">
        <f>SUM(B2*0.075)</f>
        <v>251.505</v>
      </c>
      <c r="F19" s="240"/>
      <c r="G19" s="255" t="s">
        <v>356</v>
      </c>
      <c r="H19" s="241">
        <f>SUM($B$2*0.075)</f>
        <v>251.505</v>
      </c>
      <c r="I19" s="240"/>
      <c r="J19" s="234" t="str">
        <f>$A$9</f>
        <v>Medicare - .0145</v>
      </c>
      <c r="K19" s="254">
        <f>$B$9</f>
        <v>48.624300000000005</v>
      </c>
    </row>
    <row r="20" spans="1:11" ht="16.5" customHeight="1">
      <c r="D20" s="234" t="str">
        <f>$A$11</f>
        <v>Unempl - .005</v>
      </c>
      <c r="E20" s="209">
        <f>$B$11</f>
        <v>16.766999999999999</v>
      </c>
      <c r="F20" s="222"/>
      <c r="G20" s="234" t="str">
        <f>$A$11</f>
        <v>Unempl - .005</v>
      </c>
      <c r="H20" s="209">
        <f>$B$11</f>
        <v>16.766999999999999</v>
      </c>
      <c r="I20" s="222"/>
      <c r="J20" s="210" t="s">
        <v>355</v>
      </c>
      <c r="K20" s="249">
        <f>SUM($B$2*0.119)</f>
        <v>399.05459999999999</v>
      </c>
    </row>
    <row r="21" spans="1:11" ht="16.5" customHeight="1">
      <c r="D21" s="235" t="str">
        <f>$A$12</f>
        <v>Med. Aid  - .2113 x 160</v>
      </c>
      <c r="E21" s="209">
        <f>$B$12</f>
        <v>33.808</v>
      </c>
      <c r="F21" s="222"/>
      <c r="G21" s="235" t="str">
        <f>$A$12</f>
        <v>Med. Aid  - .2113 x 160</v>
      </c>
      <c r="H21" s="209">
        <f>$B$12</f>
        <v>33.808</v>
      </c>
      <c r="I21" s="222"/>
      <c r="J21" s="253" t="s">
        <v>239</v>
      </c>
      <c r="K21" s="249">
        <f>SUM(B2*0.05)</f>
        <v>167.67000000000002</v>
      </c>
    </row>
    <row r="22" spans="1:11" ht="16.5" customHeight="1">
      <c r="D22" s="234" t="str">
        <f>$A$13</f>
        <v>Health</v>
      </c>
      <c r="E22" s="252">
        <f>$B$13</f>
        <v>850</v>
      </c>
      <c r="F22" s="222"/>
      <c r="G22" s="234" t="str">
        <f>$A$13</f>
        <v>Health</v>
      </c>
      <c r="H22" s="207">
        <f>$B$13</f>
        <v>850</v>
      </c>
      <c r="I22" s="222"/>
      <c r="J22" s="234" t="str">
        <f>$A$11</f>
        <v>Unempl - .005</v>
      </c>
      <c r="K22" s="249">
        <f>$B$11</f>
        <v>16.766999999999999</v>
      </c>
    </row>
    <row r="23" spans="1:11" ht="15" customHeight="1">
      <c r="D23" s="234" t="s">
        <v>237</v>
      </c>
      <c r="E23" s="251">
        <f>SUM(E17:E22)</f>
        <v>1408.6151</v>
      </c>
      <c r="F23" s="222"/>
      <c r="G23" s="234" t="s">
        <v>237</v>
      </c>
      <c r="H23" s="250">
        <f>SUM(H17:H22)</f>
        <v>1408.6151</v>
      </c>
      <c r="I23" s="222"/>
      <c r="J23" s="235" t="str">
        <f>$A$12</f>
        <v>Med. Aid  - .2113 x 160</v>
      </c>
      <c r="K23" s="249">
        <f>$B$12</f>
        <v>33.808</v>
      </c>
    </row>
    <row r="24" spans="1:11" ht="16.5" customHeight="1">
      <c r="D24" s="234"/>
      <c r="E24" s="251"/>
      <c r="F24" s="222"/>
      <c r="G24" s="234"/>
      <c r="H24" s="250"/>
      <c r="I24" s="222"/>
      <c r="J24" s="234" t="s">
        <v>354</v>
      </c>
      <c r="K24" s="249">
        <f>$K$13</f>
        <v>12</v>
      </c>
    </row>
    <row r="25" spans="1:11" ht="16.5" customHeight="1">
      <c r="D25" s="239" t="s">
        <v>343</v>
      </c>
      <c r="E25" s="226">
        <f>SUM(E23/B2)</f>
        <v>0.42005579411940119</v>
      </c>
      <c r="F25" s="222"/>
      <c r="G25" s="239" t="s">
        <v>343</v>
      </c>
      <c r="H25" s="248">
        <f>SUM(H23/B2)</f>
        <v>0.42005579411940119</v>
      </c>
      <c r="I25" s="222"/>
      <c r="J25" s="234" t="str">
        <f>$A$13</f>
        <v>Health</v>
      </c>
      <c r="K25" s="247">
        <f>$B$13</f>
        <v>850</v>
      </c>
    </row>
    <row r="26" spans="1:11" ht="16.5" customHeight="1">
      <c r="D26" s="246" t="str">
        <f>$A$8</f>
        <v>OASI - .062</v>
      </c>
      <c r="E26" s="214">
        <f>$B$8</f>
        <v>207.91079999999999</v>
      </c>
      <c r="F26" s="222"/>
      <c r="G26" s="246" t="str">
        <f>$A$8</f>
        <v>OASI - .062</v>
      </c>
      <c r="H26" s="214">
        <f>$B$8</f>
        <v>207.91079999999999</v>
      </c>
      <c r="I26" s="222"/>
      <c r="J26" s="234" t="s">
        <v>237</v>
      </c>
      <c r="K26" s="230">
        <f>SUM(K18:K25)</f>
        <v>1735.8347000000001</v>
      </c>
    </row>
    <row r="27" spans="1:11" ht="16.5" customHeight="1">
      <c r="D27" s="234" t="str">
        <f>$A$9</f>
        <v>Medicare - .0145</v>
      </c>
      <c r="E27" s="209">
        <f>$B$9</f>
        <v>48.624300000000005</v>
      </c>
      <c r="F27" s="222"/>
      <c r="G27" s="234" t="str">
        <f>$A$9</f>
        <v>Medicare - .0145</v>
      </c>
      <c r="H27" s="209">
        <f>$B$9</f>
        <v>48.624300000000005</v>
      </c>
      <c r="I27" s="222"/>
      <c r="J27" s="245"/>
      <c r="K27" s="244"/>
    </row>
    <row r="28" spans="1:11" s="237" customFormat="1" ht="16.5" customHeight="1">
      <c r="A28" s="224"/>
      <c r="B28" s="243"/>
      <c r="D28" s="242" t="s">
        <v>353</v>
      </c>
      <c r="E28" s="241">
        <f>SUM(B2*0.1)</f>
        <v>335.34000000000003</v>
      </c>
      <c r="F28" s="240"/>
      <c r="G28" s="242" t="s">
        <v>353</v>
      </c>
      <c r="H28" s="241">
        <f>SUM($B$2*0.1)</f>
        <v>335.34000000000003</v>
      </c>
      <c r="I28" s="240"/>
      <c r="J28" s="239" t="s">
        <v>343</v>
      </c>
      <c r="K28" s="238">
        <f>SUM(K26/$B$2)</f>
        <v>0.51763425180413913</v>
      </c>
    </row>
    <row r="29" spans="1:11" ht="16.5" customHeight="1">
      <c r="D29" s="234" t="str">
        <f>$A$11</f>
        <v>Unempl - .005</v>
      </c>
      <c r="E29" s="209">
        <f>$B$11</f>
        <v>16.766999999999999</v>
      </c>
      <c r="F29" s="222"/>
      <c r="G29" s="234" t="str">
        <f>$A$11</f>
        <v>Unempl - .005</v>
      </c>
      <c r="H29" s="209">
        <f>$B$11</f>
        <v>16.766999999999999</v>
      </c>
      <c r="I29" s="222"/>
      <c r="J29" s="236" t="s">
        <v>352</v>
      </c>
    </row>
    <row r="30" spans="1:11" ht="16.5" customHeight="1">
      <c r="D30" s="235" t="str">
        <f>$A$12</f>
        <v>Med. Aid  - .2113 x 160</v>
      </c>
      <c r="E30" s="209">
        <f>$B$12</f>
        <v>33.808</v>
      </c>
      <c r="F30" s="222"/>
      <c r="G30" s="235" t="str">
        <f>$A$12</f>
        <v>Med. Aid  - .2113 x 160</v>
      </c>
      <c r="H30" s="209">
        <f>$B$12</f>
        <v>33.808</v>
      </c>
      <c r="I30" s="222"/>
      <c r="J30" s="193" t="s">
        <v>351</v>
      </c>
    </row>
    <row r="31" spans="1:11" ht="17.25" customHeight="1">
      <c r="D31" s="234" t="str">
        <f>$A$13</f>
        <v>Health</v>
      </c>
      <c r="E31" s="207">
        <f>$B$13</f>
        <v>850</v>
      </c>
      <c r="F31" s="222"/>
      <c r="G31" s="234" t="str">
        <f>$A$13</f>
        <v>Health</v>
      </c>
      <c r="H31" s="233">
        <f>$B$13</f>
        <v>850</v>
      </c>
      <c r="I31" s="222"/>
      <c r="J31" s="193" t="s">
        <v>350</v>
      </c>
    </row>
    <row r="32" spans="1:11" ht="16.5" customHeight="1">
      <c r="D32" s="229" t="s">
        <v>237</v>
      </c>
      <c r="E32" s="232">
        <f>SUM(E26:E31)</f>
        <v>1492.4501</v>
      </c>
      <c r="F32" s="222"/>
      <c r="G32" s="229" t="s">
        <v>237</v>
      </c>
      <c r="H32" s="231">
        <f>SUM(H26:H31)</f>
        <v>1492.4501</v>
      </c>
      <c r="I32" s="222"/>
    </row>
    <row r="33" spans="1:11" ht="16.5" customHeight="1">
      <c r="D33" s="229"/>
      <c r="E33" s="230"/>
      <c r="F33" s="222"/>
      <c r="G33" s="229"/>
      <c r="H33" s="228"/>
      <c r="I33" s="222"/>
    </row>
    <row r="34" spans="1:11" ht="16.5" customHeight="1">
      <c r="D34" s="227" t="s">
        <v>343</v>
      </c>
      <c r="E34" s="226">
        <f>SUM(E32/B2)</f>
        <v>0.44505579411940122</v>
      </c>
      <c r="F34" s="222"/>
      <c r="G34" s="227" t="s">
        <v>343</v>
      </c>
      <c r="H34" s="226">
        <f>SUM(H32/B2)</f>
        <v>0.44505579411940122</v>
      </c>
      <c r="I34" s="222"/>
      <c r="J34" s="195"/>
    </row>
    <row r="35" spans="1:11" ht="16.5" customHeight="1">
      <c r="D35" s="224"/>
      <c r="E35" s="225"/>
      <c r="F35" s="222"/>
      <c r="G35" s="224"/>
      <c r="H35" s="223"/>
      <c r="I35" s="222"/>
    </row>
    <row r="36" spans="1:11" ht="16.5" customHeight="1">
      <c r="D36" s="220" t="s">
        <v>349</v>
      </c>
      <c r="E36" s="221"/>
      <c r="G36" s="220" t="s">
        <v>348</v>
      </c>
      <c r="H36" s="219"/>
      <c r="K36" s="218"/>
    </row>
    <row r="37" spans="1:11" ht="16.5" customHeight="1">
      <c r="D37" s="216" t="s">
        <v>347</v>
      </c>
      <c r="E37" s="217" t="s">
        <v>230</v>
      </c>
      <c r="G37" s="216" t="s">
        <v>346</v>
      </c>
      <c r="H37" s="215"/>
    </row>
    <row r="38" spans="1:11" ht="16.5" customHeight="1">
      <c r="D38" s="213" t="str">
        <f>A8</f>
        <v>OASI - .062</v>
      </c>
      <c r="E38" s="214">
        <f>$B$8</f>
        <v>207.91079999999999</v>
      </c>
      <c r="G38" s="213" t="str">
        <f>A8</f>
        <v>OASI - .062</v>
      </c>
      <c r="H38" s="212">
        <f>B8</f>
        <v>207.91079999999999</v>
      </c>
    </row>
    <row r="39" spans="1:11" ht="16.5" customHeight="1">
      <c r="D39" s="202" t="str">
        <f>A9</f>
        <v>Medicare - .0145</v>
      </c>
      <c r="E39" s="209">
        <f>$B$9</f>
        <v>48.624300000000005</v>
      </c>
      <c r="G39" s="202" t="str">
        <f>A9</f>
        <v>Medicare - .0145</v>
      </c>
      <c r="H39" s="201">
        <f>SUM(B2*0.0145)</f>
        <v>48.624300000000005</v>
      </c>
    </row>
    <row r="40" spans="1:11" ht="16.5" customHeight="1">
      <c r="D40" s="211" t="s">
        <v>345</v>
      </c>
      <c r="E40" s="201">
        <f>$B$10</f>
        <v>243.1215</v>
      </c>
      <c r="G40" s="210" t="s">
        <v>344</v>
      </c>
      <c r="H40" s="201">
        <f>SUM(B2*0.0804)</f>
        <v>269.61336</v>
      </c>
    </row>
    <row r="41" spans="1:11" ht="16.5" customHeight="1">
      <c r="D41" s="202" t="str">
        <f>A11</f>
        <v>Unempl - .005</v>
      </c>
      <c r="E41" s="209">
        <f>$B$11</f>
        <v>16.766999999999999</v>
      </c>
      <c r="G41" s="202" t="str">
        <f t="shared" ref="G41:H43" si="0">A11</f>
        <v>Unempl - .005</v>
      </c>
      <c r="H41" s="201">
        <f t="shared" si="0"/>
        <v>16.766999999999999</v>
      </c>
    </row>
    <row r="42" spans="1:11" ht="16.5" customHeight="1">
      <c r="D42" s="208" t="str">
        <f>A12</f>
        <v>Med. Aid  - .2113 x 160</v>
      </c>
      <c r="E42" s="209">
        <f>$B$12</f>
        <v>33.808</v>
      </c>
      <c r="G42" s="208" t="str">
        <f t="shared" si="0"/>
        <v>Med. Aid  - .2113 x 160</v>
      </c>
      <c r="H42" s="201">
        <f t="shared" si="0"/>
        <v>33.808</v>
      </c>
    </row>
    <row r="43" spans="1:11" ht="16.5" customHeight="1">
      <c r="D43" s="206" t="str">
        <f>A13</f>
        <v>Health</v>
      </c>
      <c r="E43" s="207">
        <f>$B$13</f>
        <v>850</v>
      </c>
      <c r="G43" s="206" t="str">
        <f t="shared" si="0"/>
        <v>Health</v>
      </c>
      <c r="H43" s="205">
        <f t="shared" si="0"/>
        <v>850</v>
      </c>
    </row>
    <row r="44" spans="1:11" ht="16.5" customHeight="1">
      <c r="D44" s="202" t="str">
        <f>A14</f>
        <v>TOTAL BENEFITS</v>
      </c>
      <c r="E44" s="204">
        <f>SUM(E38:E43)</f>
        <v>1400.2316000000001</v>
      </c>
      <c r="G44" s="202" t="s">
        <v>237</v>
      </c>
      <c r="H44" s="203">
        <f>SUM(H38:H43)</f>
        <v>1426.7234600000002</v>
      </c>
    </row>
    <row r="45" spans="1:11" ht="16.5" customHeight="1">
      <c r="D45" s="202"/>
      <c r="E45" s="201"/>
      <c r="G45" s="200"/>
      <c r="H45" s="199"/>
    </row>
    <row r="46" spans="1:11" ht="16.5" customHeight="1">
      <c r="D46" s="197" t="s">
        <v>343</v>
      </c>
      <c r="E46" s="198">
        <f>SUM(E44/B2)</f>
        <v>0.41755579411940119</v>
      </c>
      <c r="G46" s="197" t="s">
        <v>238</v>
      </c>
      <c r="H46" s="196">
        <f>SUM(H44/B2)</f>
        <v>0.42545579411940126</v>
      </c>
    </row>
    <row r="47" spans="1:11">
      <c r="A47" s="195"/>
    </row>
    <row r="48" spans="1:11">
      <c r="A48" s="193" t="s">
        <v>342</v>
      </c>
    </row>
  </sheetData>
  <mergeCells count="6">
    <mergeCell ref="A6:B6"/>
    <mergeCell ref="D6:E6"/>
    <mergeCell ref="G6:H6"/>
    <mergeCell ref="J6:K6"/>
    <mergeCell ref="A3:B3"/>
    <mergeCell ref="A5:K5"/>
  </mergeCells>
  <printOptions horizontalCentered="1"/>
  <pageMargins left="0.5" right="0.25" top="0.5" bottom="0.5" header="0.5" footer="0.35"/>
  <pageSetup scale="66" orientation="landscape" r:id="rId1"/>
  <headerFooter alignWithMargins="0">
    <oddFooter>&amp;L&amp;9&amp;Z&amp;F  &amp;D&amp;T</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pageSetUpPr fitToPage="1"/>
  </sheetPr>
  <dimension ref="A1:I134"/>
  <sheetViews>
    <sheetView zoomScale="75" workbookViewId="0">
      <selection activeCell="G43" sqref="G43"/>
    </sheetView>
  </sheetViews>
  <sheetFormatPr defaultColWidth="9.28515625" defaultRowHeight="12.75"/>
  <cols>
    <col min="1" max="1" width="9" style="428" customWidth="1"/>
    <col min="2" max="2" width="19" style="428" customWidth="1"/>
    <col min="3" max="3" width="21.85546875" style="428" customWidth="1"/>
    <col min="4" max="4" width="12.5703125" style="428" customWidth="1"/>
    <col min="5" max="5" width="15.140625" style="428" customWidth="1"/>
    <col min="6" max="6" width="10.5703125" style="428" hidden="1" customWidth="1"/>
    <col min="7" max="7" width="31.7109375" style="428" customWidth="1"/>
    <col min="8" max="8" width="16" style="38" customWidth="1"/>
    <col min="9" max="9" width="10.42578125" style="38" customWidth="1"/>
    <col min="10" max="16384" width="9.28515625" style="38"/>
  </cols>
  <sheetData>
    <row r="1" spans="1:9" ht="27.6" customHeight="1">
      <c r="A1" s="1505" t="s">
        <v>107</v>
      </c>
      <c r="B1" s="1505"/>
      <c r="C1" s="1505"/>
      <c r="D1" s="1505"/>
      <c r="E1" s="1505"/>
      <c r="F1" s="1505"/>
      <c r="G1" s="1505"/>
      <c r="H1" s="1505"/>
      <c r="I1" s="382"/>
    </row>
    <row r="2" spans="1:9" ht="23.45" customHeight="1">
      <c r="A2" s="1506" t="s">
        <v>560</v>
      </c>
      <c r="B2" s="1506"/>
      <c r="C2" s="1506"/>
      <c r="D2" s="1506"/>
      <c r="E2" s="1506"/>
      <c r="F2" s="1506"/>
      <c r="G2" s="1506"/>
      <c r="H2" s="1506"/>
      <c r="I2" s="383"/>
    </row>
    <row r="3" spans="1:9" ht="12.6" customHeight="1">
      <c r="A3" s="384"/>
      <c r="B3" s="385"/>
      <c r="C3" s="385"/>
      <c r="D3" s="385"/>
      <c r="E3" s="385"/>
      <c r="F3" s="385"/>
      <c r="G3" s="385"/>
      <c r="H3" s="385"/>
      <c r="I3" s="385"/>
    </row>
    <row r="4" spans="1:9">
      <c r="A4" s="386" t="s">
        <v>142</v>
      </c>
      <c r="B4" s="386" t="s">
        <v>180</v>
      </c>
      <c r="C4" s="385"/>
      <c r="D4" s="385"/>
      <c r="E4" s="385"/>
      <c r="F4" s="385"/>
      <c r="G4" s="385"/>
      <c r="H4" s="385" t="s">
        <v>143</v>
      </c>
      <c r="I4" s="385"/>
    </row>
    <row r="5" spans="1:9">
      <c r="A5" s="385"/>
      <c r="B5" s="386" t="s">
        <v>144</v>
      </c>
      <c r="C5" s="385"/>
      <c r="D5" s="385"/>
      <c r="E5" s="385"/>
      <c r="F5" s="385"/>
      <c r="G5" s="385"/>
      <c r="H5" s="385"/>
      <c r="I5" s="385"/>
    </row>
    <row r="6" spans="1:9">
      <c r="A6" s="385"/>
      <c r="B6" s="386" t="s">
        <v>145</v>
      </c>
      <c r="C6" s="385"/>
      <c r="D6" s="385"/>
      <c r="E6" s="385"/>
      <c r="F6" s="385"/>
      <c r="G6" s="385"/>
      <c r="H6" s="385"/>
      <c r="I6" s="385"/>
    </row>
    <row r="7" spans="1:9" ht="15.75">
      <c r="A7" s="387"/>
      <c r="B7" s="387"/>
      <c r="C7" s="387"/>
      <c r="D7" s="388" t="s">
        <v>108</v>
      </c>
      <c r="E7" s="388" t="s">
        <v>109</v>
      </c>
      <c r="F7" s="387"/>
      <c r="G7" s="387"/>
      <c r="H7" s="387"/>
      <c r="I7" s="387"/>
    </row>
    <row r="8" spans="1:9" ht="18.75">
      <c r="A8" s="389" t="s">
        <v>156</v>
      </c>
      <c r="B8" s="390" t="s">
        <v>561</v>
      </c>
      <c r="C8" s="390"/>
      <c r="D8" s="391">
        <v>6.2E-2</v>
      </c>
      <c r="E8" s="392" t="s">
        <v>110</v>
      </c>
      <c r="F8" s="387"/>
      <c r="G8" s="387"/>
      <c r="H8" s="387"/>
      <c r="I8" s="387"/>
    </row>
    <row r="9" spans="1:9" ht="18.75">
      <c r="A9" s="389">
        <v>5</v>
      </c>
      <c r="B9" s="390" t="s">
        <v>111</v>
      </c>
      <c r="C9" s="393"/>
      <c r="D9" s="391">
        <v>1.4500000000000001E-2</v>
      </c>
      <c r="E9" s="392" t="s">
        <v>110</v>
      </c>
      <c r="F9" s="387"/>
      <c r="G9" s="387"/>
      <c r="H9" s="387"/>
      <c r="I9" s="387"/>
    </row>
    <row r="10" spans="1:9" ht="15.75">
      <c r="A10" s="387"/>
      <c r="B10" s="393" t="s">
        <v>112</v>
      </c>
      <c r="C10" s="393"/>
      <c r="D10" s="391">
        <v>0.05</v>
      </c>
      <c r="E10" s="392" t="s">
        <v>110</v>
      </c>
      <c r="F10" s="387"/>
      <c r="G10" s="387"/>
      <c r="H10" s="387"/>
      <c r="I10" s="387"/>
    </row>
    <row r="11" spans="1:9" ht="15.75">
      <c r="A11" s="387"/>
      <c r="B11" s="393" t="s">
        <v>113</v>
      </c>
      <c r="C11" s="393"/>
      <c r="D11" s="391">
        <v>7.4999999999999997E-2</v>
      </c>
      <c r="E11" s="392" t="s">
        <v>110</v>
      </c>
      <c r="F11" s="387"/>
      <c r="G11" s="387"/>
      <c r="H11" s="387"/>
      <c r="I11" s="387"/>
    </row>
    <row r="12" spans="1:9" ht="15.75">
      <c r="A12" s="387"/>
      <c r="B12" s="393" t="s">
        <v>114</v>
      </c>
      <c r="C12" s="393"/>
      <c r="D12" s="391">
        <v>0.1</v>
      </c>
      <c r="E12" s="392" t="s">
        <v>110</v>
      </c>
      <c r="F12" s="387"/>
      <c r="G12" s="387"/>
      <c r="H12" s="387"/>
      <c r="I12" s="387"/>
    </row>
    <row r="13" spans="1:9" ht="18.75">
      <c r="A13" s="389"/>
      <c r="B13" s="393" t="s">
        <v>115</v>
      </c>
      <c r="C13" s="393"/>
      <c r="D13" s="391">
        <v>7.2499999999999995E-2</v>
      </c>
      <c r="E13" s="392" t="s">
        <v>110</v>
      </c>
      <c r="F13" s="387"/>
      <c r="G13" s="387"/>
      <c r="H13" s="387"/>
      <c r="I13" s="387"/>
    </row>
    <row r="14" spans="1:9" ht="18.75">
      <c r="A14" s="389"/>
      <c r="B14" s="393" t="s">
        <v>116</v>
      </c>
      <c r="C14" s="393"/>
      <c r="D14" s="391">
        <v>7.2499999999999995E-2</v>
      </c>
      <c r="E14" s="392" t="s">
        <v>110</v>
      </c>
      <c r="F14" s="387"/>
      <c r="G14" s="387"/>
      <c r="H14" s="387"/>
      <c r="I14" s="387"/>
    </row>
    <row r="15" spans="1:9" ht="18.75">
      <c r="A15" s="389"/>
      <c r="B15" s="393" t="s">
        <v>117</v>
      </c>
      <c r="C15" s="393"/>
      <c r="D15" s="391">
        <v>7.2499999999999995E-2</v>
      </c>
      <c r="E15" s="392" t="s">
        <v>110</v>
      </c>
      <c r="F15" s="387"/>
      <c r="G15" s="387"/>
      <c r="H15" s="387"/>
      <c r="I15" s="387"/>
    </row>
    <row r="16" spans="1:9" ht="18.75">
      <c r="A16" s="389"/>
      <c r="B16" s="393" t="s">
        <v>118</v>
      </c>
      <c r="C16" s="393"/>
      <c r="D16" s="391">
        <v>8.0399999999999999E-2</v>
      </c>
      <c r="E16" s="392" t="s">
        <v>110</v>
      </c>
      <c r="F16" s="387"/>
      <c r="G16" s="387"/>
      <c r="H16" s="387"/>
      <c r="I16" s="387"/>
    </row>
    <row r="17" spans="1:9" ht="18.75">
      <c r="A17" s="389"/>
      <c r="B17" s="393" t="s">
        <v>119</v>
      </c>
      <c r="C17" s="393"/>
      <c r="D17" s="391">
        <v>8.0399999999999999E-2</v>
      </c>
      <c r="E17" s="392" t="s">
        <v>110</v>
      </c>
      <c r="F17" s="387"/>
      <c r="G17" s="387"/>
      <c r="H17" s="387"/>
      <c r="I17" s="387"/>
    </row>
    <row r="18" spans="1:9" ht="18.75">
      <c r="A18" s="389"/>
      <c r="B18" s="393" t="s">
        <v>120</v>
      </c>
      <c r="C18" s="393"/>
      <c r="D18" s="391">
        <v>8.6199999999999999E-2</v>
      </c>
      <c r="E18" s="392" t="s">
        <v>110</v>
      </c>
      <c r="F18" s="387"/>
      <c r="G18" s="387"/>
      <c r="H18" s="387"/>
      <c r="I18" s="387"/>
    </row>
    <row r="19" spans="1:9" ht="18.75">
      <c r="A19" s="389"/>
      <c r="B19" s="393" t="s">
        <v>121</v>
      </c>
      <c r="C19" s="393"/>
      <c r="D19" s="391">
        <v>7.2499999999999995E-2</v>
      </c>
      <c r="E19" s="392" t="s">
        <v>122</v>
      </c>
      <c r="F19" s="387"/>
      <c r="G19" s="387"/>
      <c r="H19" s="387"/>
      <c r="I19" s="387"/>
    </row>
    <row r="20" spans="1:9" ht="18.75">
      <c r="A20" s="389"/>
      <c r="B20" s="393" t="s">
        <v>123</v>
      </c>
      <c r="C20" s="393"/>
      <c r="D20" s="391">
        <v>7.2499999999999995E-2</v>
      </c>
      <c r="E20" s="392" t="s">
        <v>122</v>
      </c>
      <c r="F20" s="387"/>
      <c r="G20" s="387"/>
      <c r="H20" s="387"/>
      <c r="I20" s="387"/>
    </row>
    <row r="21" spans="1:9" ht="18.75">
      <c r="A21" s="394"/>
      <c r="B21" s="390" t="s">
        <v>464</v>
      </c>
      <c r="C21" s="390"/>
      <c r="D21" s="391">
        <v>4.4588948859147059E-3</v>
      </c>
      <c r="E21" s="392" t="s">
        <v>110</v>
      </c>
      <c r="F21" s="387"/>
      <c r="G21" s="387"/>
      <c r="H21" s="387"/>
      <c r="I21" s="387"/>
    </row>
    <row r="22" spans="1:9" ht="18.75">
      <c r="A22" s="394"/>
      <c r="B22" s="390" t="s">
        <v>125</v>
      </c>
      <c r="C22" s="390"/>
      <c r="D22" s="395">
        <v>33.81</v>
      </c>
      <c r="E22" s="392" t="s">
        <v>126</v>
      </c>
      <c r="F22" s="387"/>
      <c r="G22" s="387"/>
      <c r="H22" s="387"/>
      <c r="I22" s="387"/>
    </row>
    <row r="23" spans="1:9" ht="18.75">
      <c r="A23" s="394"/>
      <c r="B23" s="390" t="s">
        <v>465</v>
      </c>
      <c r="C23" s="390"/>
      <c r="D23" s="395">
        <v>850</v>
      </c>
      <c r="E23" s="390" t="s">
        <v>127</v>
      </c>
      <c r="F23" s="387"/>
      <c r="G23" s="387"/>
      <c r="H23" s="387"/>
      <c r="I23" s="387"/>
    </row>
    <row r="24" spans="1:9" ht="18.75" hidden="1">
      <c r="A24" s="389">
        <v>7</v>
      </c>
      <c r="B24" s="390" t="s">
        <v>146</v>
      </c>
      <c r="C24" s="390"/>
      <c r="D24" s="395">
        <v>850</v>
      </c>
      <c r="E24" s="390" t="s">
        <v>127</v>
      </c>
      <c r="F24" s="387"/>
      <c r="G24" s="387"/>
      <c r="H24" s="387"/>
      <c r="I24" s="387"/>
    </row>
    <row r="25" spans="1:9" ht="18.75">
      <c r="A25" s="394"/>
      <c r="B25" s="390" t="s">
        <v>466</v>
      </c>
      <c r="C25" s="390"/>
      <c r="D25" s="395">
        <v>740</v>
      </c>
      <c r="E25" s="390" t="s">
        <v>157</v>
      </c>
      <c r="F25" s="387"/>
      <c r="G25" s="387"/>
      <c r="H25" s="387"/>
      <c r="I25" s="387"/>
    </row>
    <row r="26" spans="1:9" ht="18.75">
      <c r="A26" s="389">
        <v>3</v>
      </c>
      <c r="B26" s="390" t="s">
        <v>467</v>
      </c>
      <c r="C26" s="390"/>
      <c r="D26" s="395">
        <v>850</v>
      </c>
      <c r="E26" s="390" t="s">
        <v>468</v>
      </c>
      <c r="F26" s="387"/>
      <c r="G26" s="387"/>
      <c r="H26" s="387"/>
      <c r="I26" s="387"/>
    </row>
    <row r="27" spans="1:9" ht="18.75">
      <c r="A27" s="389"/>
      <c r="B27" s="390" t="s">
        <v>469</v>
      </c>
      <c r="C27" s="390"/>
      <c r="D27" s="395">
        <v>4544</v>
      </c>
      <c r="E27" s="390" t="s">
        <v>157</v>
      </c>
      <c r="F27" s="387"/>
      <c r="G27" s="387"/>
      <c r="H27" s="387"/>
      <c r="I27" s="387"/>
    </row>
    <row r="28" spans="1:9" ht="18.75">
      <c r="A28" s="389">
        <v>2</v>
      </c>
      <c r="B28" s="396" t="s">
        <v>131</v>
      </c>
      <c r="C28" s="396"/>
      <c r="D28" s="387"/>
      <c r="E28" s="387"/>
      <c r="F28" s="387"/>
      <c r="G28" s="387"/>
      <c r="H28" s="387"/>
      <c r="I28" s="387"/>
    </row>
    <row r="29" spans="1:9" ht="15.75">
      <c r="A29" s="397" t="s">
        <v>147</v>
      </c>
      <c r="B29" s="398"/>
      <c r="C29" s="399"/>
      <c r="D29" s="399"/>
      <c r="E29" s="399"/>
      <c r="F29" s="399"/>
      <c r="G29" s="399"/>
      <c r="H29" s="399" t="s">
        <v>143</v>
      </c>
      <c r="I29" s="399"/>
    </row>
    <row r="30" spans="1:9" ht="18.75">
      <c r="A30" s="394"/>
      <c r="B30" s="393" t="s">
        <v>174</v>
      </c>
      <c r="C30" s="390" t="s">
        <v>562</v>
      </c>
      <c r="D30" s="400"/>
      <c r="E30" s="387"/>
      <c r="F30" s="387"/>
      <c r="G30" s="387"/>
      <c r="H30" s="387"/>
      <c r="I30" s="387"/>
    </row>
    <row r="31" spans="1:9" ht="18.75" hidden="1">
      <c r="A31" s="394"/>
      <c r="B31" s="390" t="s">
        <v>148</v>
      </c>
      <c r="C31" s="390" t="s">
        <v>562</v>
      </c>
      <c r="D31" s="400"/>
      <c r="E31" s="387"/>
      <c r="F31" s="387"/>
      <c r="G31" s="387"/>
      <c r="H31" s="387"/>
      <c r="I31" s="387"/>
    </row>
    <row r="32" spans="1:9" ht="18.75">
      <c r="A32" s="394"/>
      <c r="B32" s="390" t="s">
        <v>132</v>
      </c>
      <c r="C32" s="390" t="s">
        <v>563</v>
      </c>
      <c r="D32" s="400"/>
      <c r="E32" s="387"/>
      <c r="F32" s="387"/>
      <c r="G32" s="387"/>
      <c r="H32" s="387"/>
      <c r="I32" s="387"/>
    </row>
    <row r="33" spans="1:9" ht="18.75">
      <c r="A33" s="394"/>
      <c r="B33" s="393" t="s">
        <v>133</v>
      </c>
      <c r="C33" s="390" t="s">
        <v>564</v>
      </c>
      <c r="D33" s="400"/>
      <c r="E33" s="387"/>
      <c r="F33" s="387"/>
      <c r="G33" s="387"/>
      <c r="H33" s="387"/>
      <c r="I33" s="387"/>
    </row>
    <row r="34" spans="1:9" ht="18.75">
      <c r="A34" s="394"/>
      <c r="B34" s="393" t="s">
        <v>149</v>
      </c>
      <c r="C34" s="390" t="s">
        <v>473</v>
      </c>
      <c r="D34" s="400"/>
      <c r="E34" s="387"/>
      <c r="F34" s="387"/>
      <c r="G34" s="387"/>
      <c r="H34" s="387"/>
      <c r="I34" s="387"/>
    </row>
    <row r="35" spans="1:9" ht="18.75">
      <c r="A35" s="389">
        <v>3</v>
      </c>
      <c r="B35" s="401" t="s">
        <v>134</v>
      </c>
      <c r="C35" s="402"/>
      <c r="D35" s="399"/>
      <c r="E35" s="399"/>
      <c r="F35" s="387"/>
      <c r="G35" s="387"/>
      <c r="H35" s="387"/>
      <c r="I35" s="387"/>
    </row>
    <row r="36" spans="1:9" ht="18.75">
      <c r="A36" s="394"/>
      <c r="B36" s="387"/>
      <c r="C36" s="387"/>
      <c r="D36" s="403" t="s">
        <v>223</v>
      </c>
      <c r="E36" s="403" t="s">
        <v>241</v>
      </c>
      <c r="F36" s="404"/>
      <c r="G36" s="405" t="s">
        <v>474</v>
      </c>
      <c r="H36" s="405"/>
      <c r="I36" s="387"/>
    </row>
    <row r="37" spans="1:9" ht="18.75">
      <c r="A37" s="394"/>
      <c r="B37" s="406" t="s">
        <v>158</v>
      </c>
      <c r="C37" s="406"/>
      <c r="D37" s="407">
        <v>0.37249211095436852</v>
      </c>
      <c r="E37" s="407">
        <v>0.4069103086575479</v>
      </c>
      <c r="F37" s="408"/>
      <c r="G37" s="409">
        <v>0.42578424121792813</v>
      </c>
      <c r="H37" s="410"/>
      <c r="I37" s="387"/>
    </row>
    <row r="38" spans="1:9" ht="18.75">
      <c r="A38" s="394"/>
      <c r="B38" s="406" t="s">
        <v>159</v>
      </c>
      <c r="C38" s="406"/>
      <c r="D38" s="407">
        <v>0.35134402477721444</v>
      </c>
      <c r="E38" s="407">
        <v>0.38594613823365048</v>
      </c>
      <c r="F38" s="408"/>
      <c r="G38" s="409">
        <v>0.40483965254788556</v>
      </c>
      <c r="H38" s="410"/>
      <c r="I38" s="387"/>
    </row>
    <row r="39" spans="1:9" ht="18.75">
      <c r="A39" s="394"/>
      <c r="B39" s="406" t="s">
        <v>160</v>
      </c>
      <c r="C39" s="406"/>
      <c r="D39" s="407">
        <v>0.31283210035093206</v>
      </c>
      <c r="E39" s="407">
        <v>0.34036707822541662</v>
      </c>
      <c r="F39" s="408"/>
      <c r="G39" s="409">
        <v>0.34440125295260754</v>
      </c>
      <c r="H39" s="410"/>
      <c r="I39" s="387"/>
    </row>
    <row r="40" spans="1:9" ht="18.75">
      <c r="A40" s="394"/>
      <c r="B40" s="406" t="s">
        <v>105</v>
      </c>
      <c r="C40" s="406"/>
      <c r="D40" s="407">
        <v>0.28734247336609081</v>
      </c>
      <c r="E40" s="407">
        <v>0.30803411269590014</v>
      </c>
      <c r="F40" s="408"/>
      <c r="G40" s="409">
        <v>0.30846561939947564</v>
      </c>
      <c r="H40" s="410"/>
      <c r="I40" s="387"/>
    </row>
    <row r="41" spans="1:9" ht="13.9" customHeight="1">
      <c r="A41" s="394"/>
      <c r="B41" s="406"/>
      <c r="C41" s="406"/>
      <c r="D41" s="407"/>
      <c r="E41" s="407"/>
      <c r="F41" s="408"/>
      <c r="G41" s="409"/>
      <c r="H41" s="387"/>
      <c r="I41" s="387"/>
    </row>
    <row r="42" spans="1:9" ht="18.75">
      <c r="A42" s="394"/>
      <c r="B42" s="406" t="s">
        <v>161</v>
      </c>
      <c r="C42" s="406"/>
      <c r="D42" s="407">
        <v>0.32293779511951887</v>
      </c>
      <c r="E42" s="407">
        <v>0.35072413579152839</v>
      </c>
      <c r="F42" s="408"/>
      <c r="G42" s="409">
        <v>0.35935547957342578</v>
      </c>
      <c r="H42" s="387"/>
      <c r="I42" s="387"/>
    </row>
    <row r="43" spans="1:9" ht="15" customHeight="1">
      <c r="A43" s="394"/>
      <c r="B43" s="411"/>
      <c r="C43" s="411"/>
      <c r="D43" s="408"/>
      <c r="E43" s="408"/>
      <c r="F43" s="408"/>
      <c r="G43" s="412" t="s">
        <v>162</v>
      </c>
      <c r="H43" s="413" t="s">
        <v>163</v>
      </c>
      <c r="I43" s="387"/>
    </row>
    <row r="44" spans="1:9" ht="18.75">
      <c r="A44" s="394">
        <v>4</v>
      </c>
      <c r="B44" s="406" t="s">
        <v>164</v>
      </c>
      <c r="C44" s="406"/>
      <c r="D44" s="407">
        <v>0.108</v>
      </c>
      <c r="E44" s="407">
        <v>0.106</v>
      </c>
      <c r="F44" s="387"/>
      <c r="G44" s="414">
        <v>0.11330215645534947</v>
      </c>
      <c r="H44" s="415">
        <v>0.7445767727787157</v>
      </c>
      <c r="I44" s="409"/>
    </row>
    <row r="45" spans="1:9" ht="18.75">
      <c r="A45" s="394">
        <v>6</v>
      </c>
      <c r="B45" s="416" t="s">
        <v>135</v>
      </c>
      <c r="C45" s="416"/>
      <c r="D45" s="408"/>
      <c r="E45" s="408"/>
      <c r="F45" s="408"/>
      <c r="G45" s="409" t="s">
        <v>565</v>
      </c>
      <c r="H45" s="387"/>
      <c r="I45" s="387"/>
    </row>
    <row r="46" spans="1:9" ht="15.6" customHeight="1">
      <c r="A46" s="394"/>
      <c r="B46" s="416"/>
      <c r="C46" s="416"/>
      <c r="D46" s="417" t="s">
        <v>136</v>
      </c>
      <c r="E46" s="417" t="s">
        <v>136</v>
      </c>
      <c r="F46" s="408"/>
      <c r="G46" s="418" t="s">
        <v>150</v>
      </c>
      <c r="H46" s="419" t="s">
        <v>137</v>
      </c>
      <c r="I46" s="420"/>
    </row>
    <row r="47" spans="1:9" ht="18.75">
      <c r="A47" s="394">
        <v>6</v>
      </c>
      <c r="B47" s="416" t="s">
        <v>138</v>
      </c>
      <c r="C47" s="416"/>
      <c r="D47" s="421">
        <v>9.5000000000000001E-2</v>
      </c>
      <c r="E47" s="421">
        <v>9.6000000000000002E-2</v>
      </c>
      <c r="F47" s="408"/>
      <c r="G47" s="422" t="s">
        <v>566</v>
      </c>
      <c r="H47" s="414">
        <v>0.7728071710897797</v>
      </c>
      <c r="I47" s="409"/>
    </row>
    <row r="48" spans="1:9" ht="13.9" customHeight="1">
      <c r="A48" s="394"/>
      <c r="B48" s="416"/>
      <c r="C48" s="416"/>
      <c r="D48" s="408"/>
      <c r="E48" s="408"/>
      <c r="F48" s="408"/>
      <c r="G48" s="409"/>
      <c r="H48" s="423"/>
      <c r="I48" s="423"/>
    </row>
    <row r="49" spans="1:9" ht="18.75">
      <c r="A49" s="394">
        <v>1</v>
      </c>
      <c r="B49" s="424" t="s">
        <v>567</v>
      </c>
      <c r="C49" s="416"/>
      <c r="D49" s="408"/>
      <c r="E49" s="408"/>
      <c r="F49" s="408"/>
      <c r="G49" s="387"/>
      <c r="H49" s="387"/>
      <c r="I49" s="387"/>
    </row>
    <row r="50" spans="1:9" ht="18.600000000000001" customHeight="1">
      <c r="A50" s="394">
        <v>2</v>
      </c>
      <c r="B50" s="424" t="s">
        <v>568</v>
      </c>
      <c r="C50" s="425"/>
      <c r="D50" s="426"/>
      <c r="E50" s="426"/>
      <c r="F50" s="426"/>
      <c r="G50" s="427"/>
      <c r="H50" s="427"/>
      <c r="I50" s="427"/>
    </row>
    <row r="51" spans="1:9">
      <c r="B51" s="429" t="s">
        <v>569</v>
      </c>
      <c r="C51" s="430"/>
      <c r="D51" s="427"/>
      <c r="E51" s="427"/>
      <c r="F51" s="426"/>
      <c r="G51" s="427"/>
      <c r="H51" s="427"/>
      <c r="I51" s="427"/>
    </row>
    <row r="52" spans="1:9" ht="19.149999999999999" customHeight="1">
      <c r="A52" s="394">
        <v>3</v>
      </c>
      <c r="B52" s="424" t="s">
        <v>151</v>
      </c>
      <c r="C52" s="425"/>
      <c r="D52" s="427"/>
      <c r="E52" s="427"/>
      <c r="F52" s="426"/>
      <c r="G52" s="427"/>
      <c r="H52" s="427"/>
      <c r="I52" s="427"/>
    </row>
    <row r="53" spans="1:9">
      <c r="A53" s="431"/>
      <c r="B53" s="424" t="s">
        <v>570</v>
      </c>
      <c r="C53" s="425"/>
      <c r="D53" s="427"/>
      <c r="E53" s="427"/>
      <c r="F53" s="426"/>
      <c r="G53" s="427"/>
      <c r="H53" s="427"/>
      <c r="I53" s="427"/>
    </row>
    <row r="54" spans="1:9">
      <c r="A54" s="431"/>
      <c r="B54" s="432" t="s">
        <v>152</v>
      </c>
      <c r="C54" s="425"/>
      <c r="D54" s="427"/>
      <c r="E54" s="427"/>
      <c r="F54" s="426"/>
      <c r="G54" s="427"/>
      <c r="H54" s="427"/>
      <c r="I54" s="427"/>
    </row>
    <row r="55" spans="1:9">
      <c r="A55" s="433"/>
      <c r="B55" s="434" t="s">
        <v>177</v>
      </c>
      <c r="C55" s="433"/>
      <c r="D55" s="433"/>
      <c r="E55" s="433"/>
      <c r="F55" s="433"/>
      <c r="G55" s="435"/>
      <c r="H55" s="435"/>
      <c r="I55" s="435"/>
    </row>
    <row r="56" spans="1:9" ht="13.15" customHeight="1">
      <c r="A56" s="436"/>
      <c r="B56" s="434" t="s">
        <v>139</v>
      </c>
      <c r="C56" s="433"/>
      <c r="D56" s="433"/>
      <c r="E56" s="433"/>
      <c r="F56" s="433"/>
      <c r="G56" s="435"/>
      <c r="H56" s="435"/>
      <c r="I56" s="435"/>
    </row>
    <row r="57" spans="1:9">
      <c r="A57" s="433"/>
      <c r="B57" s="437" t="s">
        <v>481</v>
      </c>
      <c r="C57" s="433"/>
      <c r="D57" s="433"/>
      <c r="E57" s="433"/>
      <c r="F57" s="433"/>
      <c r="G57" s="435"/>
      <c r="H57" s="435"/>
      <c r="I57" s="435"/>
    </row>
    <row r="58" spans="1:9">
      <c r="A58" s="433"/>
      <c r="B58" s="437" t="s">
        <v>482</v>
      </c>
      <c r="C58" s="433"/>
      <c r="D58" s="433"/>
      <c r="E58" s="433"/>
      <c r="F58" s="433"/>
      <c r="G58" s="435"/>
      <c r="H58" s="435"/>
      <c r="I58" s="435"/>
    </row>
    <row r="59" spans="1:9">
      <c r="A59" s="433"/>
      <c r="B59" s="437" t="s">
        <v>483</v>
      </c>
      <c r="C59" s="433"/>
      <c r="D59" s="433"/>
      <c r="E59" s="433"/>
      <c r="F59" s="433"/>
      <c r="G59" s="435"/>
      <c r="H59" s="435"/>
      <c r="I59" s="435"/>
    </row>
    <row r="60" spans="1:9" ht="17.45" customHeight="1">
      <c r="A60" s="394">
        <v>4</v>
      </c>
      <c r="B60" s="432" t="s">
        <v>165</v>
      </c>
      <c r="C60" s="427"/>
      <c r="D60" s="427"/>
      <c r="E60" s="427"/>
      <c r="F60" s="426"/>
      <c r="G60" s="427"/>
      <c r="H60" s="427"/>
      <c r="I60" s="427"/>
    </row>
    <row r="61" spans="1:9">
      <c r="A61" s="433"/>
      <c r="B61" s="437" t="s">
        <v>484</v>
      </c>
      <c r="C61" s="433"/>
      <c r="D61" s="433"/>
      <c r="E61" s="433"/>
      <c r="F61" s="433"/>
      <c r="G61" s="435"/>
    </row>
    <row r="62" spans="1:9" ht="18.75">
      <c r="A62" s="394">
        <v>5</v>
      </c>
      <c r="B62" s="437" t="s">
        <v>153</v>
      </c>
      <c r="C62" s="433"/>
      <c r="D62" s="433"/>
      <c r="E62" s="433"/>
      <c r="F62" s="433"/>
      <c r="G62" s="435"/>
      <c r="H62" s="435"/>
      <c r="I62" s="435"/>
    </row>
    <row r="63" spans="1:9">
      <c r="A63" s="433"/>
      <c r="B63" s="437" t="s">
        <v>154</v>
      </c>
      <c r="C63" s="433"/>
      <c r="D63" s="433"/>
      <c r="E63" s="433"/>
      <c r="F63" s="433"/>
      <c r="G63" s="435"/>
      <c r="H63" s="435"/>
      <c r="I63" s="435"/>
    </row>
    <row r="64" spans="1:9" ht="18.75">
      <c r="A64" s="394">
        <v>6</v>
      </c>
      <c r="B64" s="437" t="s">
        <v>140</v>
      </c>
      <c r="C64" s="433"/>
      <c r="D64" s="433"/>
      <c r="E64" s="433"/>
      <c r="F64" s="433"/>
      <c r="G64" s="435"/>
      <c r="H64" s="435"/>
      <c r="I64" s="435"/>
    </row>
    <row r="65" spans="1:7" ht="18.75" hidden="1">
      <c r="A65" s="394">
        <v>7</v>
      </c>
      <c r="B65" s="437" t="s">
        <v>227</v>
      </c>
      <c r="C65" s="433"/>
      <c r="D65" s="433"/>
      <c r="E65" s="433"/>
      <c r="F65" s="432"/>
      <c r="G65" s="435"/>
    </row>
    <row r="66" spans="1:7">
      <c r="A66" s="432"/>
      <c r="B66" s="433"/>
      <c r="C66" s="433"/>
      <c r="D66" s="438"/>
      <c r="E66" s="433"/>
      <c r="F66" s="432"/>
      <c r="G66" s="435"/>
    </row>
    <row r="67" spans="1:7">
      <c r="A67" s="439"/>
      <c r="B67" s="433"/>
      <c r="C67" s="433"/>
      <c r="D67" s="439"/>
      <c r="E67" s="433"/>
      <c r="F67" s="439"/>
      <c r="G67" s="435"/>
    </row>
    <row r="68" spans="1:7">
      <c r="A68" s="433"/>
      <c r="B68" s="433"/>
      <c r="C68" s="433"/>
      <c r="D68" s="433"/>
      <c r="E68" s="433"/>
      <c r="F68" s="438"/>
      <c r="G68" s="435"/>
    </row>
    <row r="69" spans="1:7">
      <c r="A69" s="432"/>
      <c r="B69" s="433"/>
      <c r="C69" s="433"/>
      <c r="D69" s="438"/>
      <c r="E69" s="433"/>
      <c r="F69" s="438"/>
      <c r="G69" s="433"/>
    </row>
    <row r="70" spans="1:7">
      <c r="A70" s="432"/>
      <c r="B70" s="433"/>
      <c r="C70" s="433"/>
      <c r="D70" s="438"/>
      <c r="E70" s="433"/>
      <c r="F70" s="438"/>
      <c r="G70" s="433"/>
    </row>
    <row r="71" spans="1:7">
      <c r="A71" s="432"/>
      <c r="B71" s="433"/>
      <c r="C71" s="433"/>
      <c r="D71" s="438"/>
      <c r="E71" s="433"/>
      <c r="F71" s="438"/>
      <c r="G71" s="433"/>
    </row>
    <row r="72" spans="1:7">
      <c r="A72" s="433"/>
      <c r="B72" s="433"/>
      <c r="C72" s="433"/>
      <c r="D72" s="439"/>
      <c r="E72" s="433"/>
      <c r="F72" s="438"/>
      <c r="G72" s="433"/>
    </row>
    <row r="73" spans="1:7">
      <c r="A73" s="432"/>
      <c r="B73" s="433"/>
      <c r="C73" s="433"/>
      <c r="D73" s="438"/>
      <c r="E73" s="433"/>
      <c r="F73" s="438"/>
      <c r="G73" s="433"/>
    </row>
    <row r="74" spans="1:7">
      <c r="A74" s="433"/>
      <c r="B74" s="433"/>
      <c r="C74" s="433"/>
      <c r="D74" s="433"/>
      <c r="E74" s="433"/>
      <c r="F74" s="433"/>
      <c r="G74" s="433"/>
    </row>
    <row r="75" spans="1:7">
      <c r="A75" s="432"/>
      <c r="B75" s="433"/>
      <c r="C75" s="433"/>
      <c r="D75" s="438"/>
      <c r="E75" s="433"/>
      <c r="G75" s="433"/>
    </row>
    <row r="76" spans="1:7">
      <c r="A76" s="432"/>
      <c r="B76" s="433"/>
      <c r="C76" s="433"/>
      <c r="D76" s="438"/>
      <c r="E76" s="433"/>
      <c r="G76" s="433"/>
    </row>
    <row r="77" spans="1:7">
      <c r="A77" s="433"/>
      <c r="B77" s="433"/>
      <c r="C77" s="433"/>
      <c r="D77" s="433"/>
      <c r="E77" s="433"/>
      <c r="G77" s="433"/>
    </row>
    <row r="78" spans="1:7">
      <c r="A78" s="432"/>
      <c r="B78" s="433"/>
      <c r="C78" s="433"/>
      <c r="D78" s="438"/>
      <c r="E78" s="433"/>
      <c r="F78" s="433"/>
      <c r="G78" s="433"/>
    </row>
    <row r="79" spans="1:7">
      <c r="A79" s="432"/>
      <c r="B79" s="433"/>
      <c r="C79" s="433"/>
      <c r="D79" s="438"/>
      <c r="E79" s="433"/>
      <c r="F79" s="432"/>
      <c r="G79" s="433"/>
    </row>
    <row r="80" spans="1:7">
      <c r="A80" s="433"/>
      <c r="B80" s="433"/>
      <c r="C80" s="433"/>
      <c r="D80" s="433"/>
      <c r="E80" s="433"/>
      <c r="F80" s="433"/>
      <c r="G80" s="433"/>
    </row>
    <row r="81" spans="1:7">
      <c r="A81" s="433"/>
      <c r="B81" s="433"/>
      <c r="C81" s="433"/>
      <c r="D81" s="433"/>
      <c r="E81" s="433"/>
      <c r="F81" s="433"/>
      <c r="G81" s="433"/>
    </row>
    <row r="82" spans="1:7">
      <c r="A82" s="433"/>
      <c r="B82" s="433"/>
      <c r="C82" s="433"/>
      <c r="D82" s="433"/>
      <c r="E82" s="433"/>
      <c r="F82" s="433"/>
      <c r="G82" s="433"/>
    </row>
    <row r="83" spans="1:7">
      <c r="A83" s="433"/>
      <c r="B83" s="433"/>
      <c r="C83" s="433"/>
      <c r="D83" s="433"/>
      <c r="E83" s="433"/>
      <c r="F83" s="432"/>
      <c r="G83" s="433"/>
    </row>
    <row r="84" spans="1:7">
      <c r="A84" s="432"/>
      <c r="B84" s="433"/>
      <c r="C84" s="433"/>
      <c r="D84" s="438"/>
      <c r="E84" s="433"/>
      <c r="F84" s="432"/>
      <c r="G84" s="433"/>
    </row>
    <row r="85" spans="1:7">
      <c r="A85" s="439"/>
      <c r="B85" s="433"/>
      <c r="C85" s="433"/>
      <c r="D85" s="439"/>
      <c r="E85" s="433"/>
      <c r="F85" s="439"/>
      <c r="G85" s="433"/>
    </row>
    <row r="86" spans="1:7">
      <c r="A86" s="433"/>
      <c r="B86" s="433"/>
      <c r="C86" s="433"/>
      <c r="D86" s="433"/>
      <c r="E86" s="433"/>
      <c r="F86" s="438"/>
      <c r="G86" s="433"/>
    </row>
    <row r="87" spans="1:7">
      <c r="A87" s="432"/>
      <c r="B87" s="433"/>
      <c r="C87" s="433"/>
      <c r="D87" s="438"/>
      <c r="E87" s="433"/>
      <c r="F87" s="438"/>
      <c r="G87" s="433"/>
    </row>
    <row r="88" spans="1:7">
      <c r="A88" s="432"/>
      <c r="B88" s="433"/>
      <c r="C88" s="433"/>
      <c r="D88" s="438"/>
      <c r="E88" s="433"/>
      <c r="F88" s="438"/>
      <c r="G88" s="433"/>
    </row>
    <row r="89" spans="1:7">
      <c r="A89" s="432"/>
      <c r="B89" s="433"/>
      <c r="C89" s="433"/>
      <c r="D89" s="438"/>
      <c r="E89" s="433"/>
      <c r="F89" s="438"/>
      <c r="G89" s="433"/>
    </row>
    <row r="90" spans="1:7">
      <c r="A90" s="433"/>
      <c r="B90" s="433"/>
      <c r="C90" s="433"/>
      <c r="D90" s="439"/>
      <c r="E90" s="433"/>
      <c r="F90" s="438"/>
      <c r="G90" s="433"/>
    </row>
    <row r="91" spans="1:7">
      <c r="A91" s="432"/>
      <c r="B91" s="433"/>
      <c r="C91" s="433"/>
      <c r="D91" s="438"/>
      <c r="E91" s="433"/>
      <c r="F91" s="438"/>
      <c r="G91" s="433"/>
    </row>
    <row r="92" spans="1:7">
      <c r="A92" s="433"/>
      <c r="B92" s="433"/>
      <c r="C92" s="433"/>
      <c r="D92" s="433"/>
      <c r="E92" s="433"/>
      <c r="F92" s="433"/>
      <c r="G92" s="433"/>
    </row>
    <row r="93" spans="1:7">
      <c r="A93" s="432"/>
      <c r="B93" s="433"/>
      <c r="C93" s="433"/>
      <c r="D93" s="438"/>
      <c r="E93" s="433"/>
      <c r="F93" s="432"/>
      <c r="G93" s="433"/>
    </row>
    <row r="94" spans="1:7">
      <c r="A94" s="432"/>
      <c r="B94" s="433"/>
      <c r="C94" s="433"/>
      <c r="D94" s="438"/>
      <c r="E94" s="433"/>
      <c r="F94" s="432"/>
      <c r="G94" s="433"/>
    </row>
    <row r="95" spans="1:7">
      <c r="A95" s="433"/>
      <c r="B95" s="433"/>
      <c r="C95" s="433"/>
      <c r="D95" s="433"/>
      <c r="E95" s="433"/>
      <c r="F95" s="432"/>
      <c r="G95" s="433"/>
    </row>
    <row r="96" spans="1:7">
      <c r="A96" s="432"/>
      <c r="B96" s="433"/>
      <c r="C96" s="433"/>
      <c r="D96" s="438"/>
      <c r="E96" s="433"/>
      <c r="F96" s="433"/>
      <c r="G96" s="433"/>
    </row>
    <row r="97" spans="1:7">
      <c r="A97" s="432"/>
      <c r="B97" s="433"/>
      <c r="C97" s="433"/>
      <c r="D97" s="438"/>
      <c r="E97" s="433"/>
      <c r="F97" s="432"/>
      <c r="G97" s="433"/>
    </row>
    <row r="98" spans="1:7">
      <c r="A98" s="433"/>
      <c r="B98" s="433"/>
      <c r="C98" s="433"/>
      <c r="D98" s="433"/>
      <c r="E98" s="433"/>
      <c r="F98" s="433"/>
      <c r="G98" s="433"/>
    </row>
    <row r="99" spans="1:7">
      <c r="A99" s="433"/>
      <c r="B99" s="433"/>
      <c r="C99" s="433"/>
      <c r="D99" s="433"/>
      <c r="E99" s="433"/>
      <c r="F99" s="433"/>
      <c r="G99" s="433"/>
    </row>
    <row r="100" spans="1:7">
      <c r="A100" s="433"/>
      <c r="B100" s="433"/>
      <c r="C100" s="433"/>
      <c r="D100" s="433"/>
      <c r="E100" s="433"/>
      <c r="F100" s="433"/>
      <c r="G100" s="433"/>
    </row>
    <row r="101" spans="1:7">
      <c r="A101" s="433"/>
      <c r="B101" s="433"/>
      <c r="C101" s="433"/>
      <c r="D101" s="433"/>
      <c r="E101" s="433"/>
      <c r="F101" s="432"/>
      <c r="G101" s="433"/>
    </row>
    <row r="102" spans="1:7">
      <c r="A102" s="432"/>
      <c r="B102" s="433"/>
      <c r="C102" s="433"/>
      <c r="D102" s="438"/>
      <c r="E102" s="433"/>
      <c r="F102" s="432"/>
      <c r="G102" s="433"/>
    </row>
    <row r="103" spans="1:7">
      <c r="A103" s="439"/>
      <c r="B103" s="433"/>
      <c r="C103" s="433"/>
      <c r="D103" s="439"/>
      <c r="E103" s="433"/>
      <c r="F103" s="439"/>
      <c r="G103" s="433"/>
    </row>
    <row r="104" spans="1:7">
      <c r="A104" s="433"/>
      <c r="B104" s="433"/>
      <c r="C104" s="433"/>
      <c r="D104" s="433"/>
      <c r="E104" s="433"/>
      <c r="F104" s="438"/>
      <c r="G104" s="433"/>
    </row>
    <row r="105" spans="1:7">
      <c r="A105" s="432"/>
      <c r="B105" s="433"/>
      <c r="C105" s="433"/>
      <c r="D105" s="438"/>
      <c r="E105" s="433"/>
      <c r="F105" s="438"/>
      <c r="G105" s="433"/>
    </row>
    <row r="106" spans="1:7">
      <c r="A106" s="432"/>
      <c r="B106" s="433"/>
      <c r="C106" s="433"/>
      <c r="D106" s="438"/>
      <c r="E106" s="433"/>
      <c r="F106" s="438"/>
      <c r="G106" s="433"/>
    </row>
    <row r="107" spans="1:7">
      <c r="A107" s="432"/>
      <c r="B107" s="433"/>
      <c r="C107" s="433"/>
      <c r="D107" s="438"/>
      <c r="E107" s="433"/>
      <c r="F107" s="438"/>
      <c r="G107" s="433"/>
    </row>
    <row r="108" spans="1:7">
      <c r="A108" s="433"/>
      <c r="B108" s="433"/>
      <c r="C108" s="433"/>
      <c r="D108" s="439"/>
      <c r="E108" s="433"/>
      <c r="F108" s="438"/>
      <c r="G108" s="433"/>
    </row>
    <row r="109" spans="1:7">
      <c r="A109" s="432"/>
      <c r="B109" s="433"/>
      <c r="C109" s="433"/>
      <c r="D109" s="438"/>
      <c r="E109" s="433"/>
      <c r="F109" s="438"/>
      <c r="G109" s="433"/>
    </row>
    <row r="110" spans="1:7">
      <c r="A110" s="433"/>
      <c r="B110" s="433"/>
      <c r="C110" s="433"/>
      <c r="D110" s="433"/>
      <c r="E110" s="433"/>
      <c r="F110" s="433"/>
      <c r="G110" s="433"/>
    </row>
    <row r="111" spans="1:7">
      <c r="A111" s="432"/>
      <c r="B111" s="433"/>
      <c r="C111" s="433"/>
      <c r="D111" s="438"/>
      <c r="E111" s="433"/>
      <c r="F111" s="432"/>
      <c r="G111" s="433"/>
    </row>
    <row r="112" spans="1:7">
      <c r="A112" s="432"/>
      <c r="B112" s="433"/>
      <c r="C112" s="433"/>
      <c r="D112" s="438"/>
      <c r="E112" s="433"/>
      <c r="F112" s="432"/>
      <c r="G112" s="433"/>
    </row>
    <row r="113" spans="1:7">
      <c r="A113" s="433"/>
      <c r="B113" s="433"/>
      <c r="C113" s="433"/>
      <c r="D113" s="433"/>
      <c r="E113" s="433"/>
      <c r="F113" s="432"/>
      <c r="G113" s="433"/>
    </row>
    <row r="114" spans="1:7">
      <c r="A114" s="432"/>
      <c r="B114" s="433"/>
      <c r="C114" s="433"/>
      <c r="D114" s="438"/>
      <c r="E114" s="433"/>
      <c r="F114" s="433"/>
      <c r="G114" s="433"/>
    </row>
    <row r="115" spans="1:7">
      <c r="A115" s="432"/>
      <c r="B115" s="433"/>
      <c r="C115" s="433"/>
      <c r="D115" s="438"/>
      <c r="E115" s="433"/>
      <c r="F115" s="432"/>
      <c r="G115" s="433"/>
    </row>
    <row r="116" spans="1:7">
      <c r="A116" s="433"/>
      <c r="B116" s="433"/>
      <c r="C116" s="433"/>
      <c r="D116" s="433"/>
      <c r="E116" s="433"/>
      <c r="F116" s="433"/>
      <c r="G116" s="433"/>
    </row>
    <row r="117" spans="1:7">
      <c r="A117" s="433"/>
      <c r="B117" s="433"/>
      <c r="C117" s="433"/>
      <c r="D117" s="433"/>
      <c r="E117" s="433"/>
      <c r="F117" s="433"/>
      <c r="G117" s="433"/>
    </row>
    <row r="118" spans="1:7">
      <c r="A118" s="433"/>
      <c r="B118" s="433"/>
      <c r="C118" s="433"/>
      <c r="D118" s="433"/>
      <c r="E118" s="433"/>
      <c r="F118" s="432"/>
      <c r="G118" s="433"/>
    </row>
    <row r="119" spans="1:7">
      <c r="A119" s="432"/>
      <c r="B119" s="433"/>
      <c r="C119" s="433"/>
      <c r="D119" s="438"/>
      <c r="E119" s="433"/>
      <c r="F119" s="432"/>
      <c r="G119" s="433"/>
    </row>
    <row r="120" spans="1:7">
      <c r="A120" s="439"/>
      <c r="B120" s="433"/>
      <c r="C120" s="433"/>
      <c r="D120" s="439"/>
      <c r="E120" s="433"/>
      <c r="F120" s="439"/>
      <c r="G120" s="433"/>
    </row>
    <row r="121" spans="1:7">
      <c r="A121" s="433"/>
      <c r="B121" s="433"/>
      <c r="C121" s="433"/>
      <c r="D121" s="433"/>
      <c r="E121" s="433"/>
      <c r="F121" s="438"/>
      <c r="G121" s="433"/>
    </row>
    <row r="122" spans="1:7">
      <c r="A122" s="432"/>
      <c r="B122" s="433"/>
      <c r="C122" s="433"/>
      <c r="D122" s="438"/>
      <c r="E122" s="433"/>
      <c r="F122" s="438"/>
      <c r="G122" s="433"/>
    </row>
    <row r="123" spans="1:7">
      <c r="A123" s="432"/>
      <c r="B123" s="433"/>
      <c r="C123" s="433"/>
      <c r="D123" s="438"/>
      <c r="E123" s="433"/>
      <c r="F123" s="438"/>
      <c r="G123" s="433"/>
    </row>
    <row r="124" spans="1:7">
      <c r="A124" s="432"/>
      <c r="B124" s="433"/>
      <c r="C124" s="433"/>
      <c r="D124" s="438"/>
      <c r="E124" s="433"/>
      <c r="F124" s="438"/>
      <c r="G124" s="433"/>
    </row>
    <row r="125" spans="1:7">
      <c r="A125" s="433"/>
      <c r="B125" s="433"/>
      <c r="C125" s="433"/>
      <c r="D125" s="439"/>
      <c r="E125" s="433"/>
      <c r="F125" s="438"/>
      <c r="G125" s="433"/>
    </row>
    <row r="126" spans="1:7">
      <c r="A126" s="432"/>
      <c r="B126" s="433"/>
      <c r="C126" s="433"/>
      <c r="D126" s="438"/>
      <c r="E126" s="433"/>
      <c r="F126" s="438"/>
      <c r="G126" s="433"/>
    </row>
    <row r="127" spans="1:7">
      <c r="A127" s="433"/>
      <c r="B127" s="433"/>
      <c r="C127" s="433"/>
      <c r="D127" s="433"/>
      <c r="E127" s="433"/>
      <c r="F127" s="433"/>
      <c r="G127" s="433"/>
    </row>
    <row r="128" spans="1:7">
      <c r="A128" s="432"/>
      <c r="B128" s="433"/>
      <c r="C128" s="433"/>
      <c r="D128" s="438"/>
      <c r="E128" s="433"/>
      <c r="F128" s="433"/>
      <c r="G128" s="433"/>
    </row>
    <row r="129" spans="1:7">
      <c r="A129" s="432"/>
      <c r="B129" s="433"/>
      <c r="C129" s="433"/>
      <c r="D129" s="438"/>
      <c r="E129" s="433"/>
      <c r="F129" s="433"/>
      <c r="G129" s="433"/>
    </row>
    <row r="130" spans="1:7">
      <c r="A130" s="433"/>
      <c r="B130" s="433"/>
      <c r="C130" s="433"/>
      <c r="D130" s="433"/>
      <c r="E130" s="433"/>
      <c r="F130" s="433"/>
      <c r="G130" s="433"/>
    </row>
    <row r="131" spans="1:7">
      <c r="A131" s="432"/>
      <c r="B131" s="433"/>
      <c r="C131" s="433"/>
      <c r="D131" s="438"/>
      <c r="E131" s="433"/>
      <c r="F131" s="433"/>
      <c r="G131" s="433"/>
    </row>
    <row r="132" spans="1:7">
      <c r="A132" s="432"/>
      <c r="B132" s="433"/>
      <c r="C132" s="433"/>
      <c r="D132" s="438"/>
      <c r="E132" s="433"/>
      <c r="F132" s="433"/>
      <c r="G132" s="433"/>
    </row>
    <row r="133" spans="1:7">
      <c r="A133" s="432"/>
      <c r="B133" s="433"/>
      <c r="C133" s="433"/>
      <c r="D133" s="433"/>
      <c r="E133" s="433"/>
      <c r="F133" s="433"/>
      <c r="G133" s="433"/>
    </row>
    <row r="134" spans="1:7">
      <c r="A134" s="433"/>
      <c r="B134" s="433"/>
      <c r="C134" s="433"/>
      <c r="D134" s="433"/>
      <c r="E134" s="433"/>
      <c r="F134" s="433"/>
      <c r="G134" s="433"/>
    </row>
  </sheetData>
  <mergeCells count="2">
    <mergeCell ref="A1:H1"/>
    <mergeCell ref="A2:H2"/>
  </mergeCells>
  <pageMargins left="0.75" right="0.75" top="0.37" bottom="0.55000000000000004" header="0.33" footer="0.5"/>
  <pageSetup scale="6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17</vt:i4>
      </vt:variant>
    </vt:vector>
  </HeadingPairs>
  <TitlesOfParts>
    <vt:vector size="42" baseType="lpstr">
      <vt:lpstr>Instructions</vt:lpstr>
      <vt:lpstr>WSU Budget FY24</vt:lpstr>
      <vt:lpstr>CS Budget  FY24</vt:lpstr>
      <vt:lpstr> MOD BUDGET</vt:lpstr>
      <vt:lpstr>PIs, Co-PIs, Other Personnel</vt:lpstr>
      <vt:lpstr>EBCALC </vt:lpstr>
      <vt:lpstr>EBCALC_FY13</vt:lpstr>
      <vt:lpstr>EBCALC_FY12 </vt:lpstr>
      <vt:lpstr>FY12 BEN</vt:lpstr>
      <vt:lpstr>BEN FY</vt:lpstr>
      <vt:lpstr>FY11 Benefits Model</vt:lpstr>
      <vt:lpstr>FY11 Est Bens</vt:lpstr>
      <vt:lpstr>FY12 Draft Bens</vt:lpstr>
      <vt:lpstr>Est Bens 12 Draft</vt:lpstr>
      <vt:lpstr>FY24 DRAFT BEN MODEL</vt:lpstr>
      <vt:lpstr>BEN FINAL RATES FY24</vt:lpstr>
      <vt:lpstr>Person Months Calculator</vt:lpstr>
      <vt:lpstr>Assistantship Sal Grid Jan2023</vt:lpstr>
      <vt:lpstr>GRA 26-60 Matrices</vt:lpstr>
      <vt:lpstr>GRA MBA Matrix</vt:lpstr>
      <vt:lpstr>COS GRA Matrix</vt:lpstr>
      <vt:lpstr>DVM GRA Matrix</vt:lpstr>
      <vt:lpstr>Pharmacy GRA Matrix</vt:lpstr>
      <vt:lpstr>Nursing GRA Matrices</vt:lpstr>
      <vt:lpstr>USDA FA comparison</vt:lpstr>
      <vt:lpstr>' MOD BUDGET'!NIH_MODULAR_BUDGET_populates_from_WSU_budget_template_and_starts_on_line_128</vt:lpstr>
      <vt:lpstr>' MOD BUDGET'!Print_Area</vt:lpstr>
      <vt:lpstr>'CS Budget  FY24'!Print_Area</vt:lpstr>
      <vt:lpstr>'DVM GRA Matrix'!Print_Area</vt:lpstr>
      <vt:lpstr>'FY11 Benefits Model'!Print_Area</vt:lpstr>
      <vt:lpstr>'FY12 BEN'!Print_Area</vt:lpstr>
      <vt:lpstr>'FY12 Draft Bens'!Print_Area</vt:lpstr>
      <vt:lpstr>'GRA 26-60 Matrices'!Print_Area</vt:lpstr>
      <vt:lpstr>'GRA MBA Matrix'!Print_Area</vt:lpstr>
      <vt:lpstr>'Pharmacy GRA Matrix'!Print_Area</vt:lpstr>
      <vt:lpstr>'WSU Budget FY24'!Print_Area</vt:lpstr>
      <vt:lpstr>'EBCALC '!Print_Area_MI</vt:lpstr>
      <vt:lpstr>'EBCALC_FY12 '!Print_Area_MI</vt:lpstr>
      <vt:lpstr>EBCALC_FY13!Print_Area_MI</vt:lpstr>
      <vt:lpstr>RANGE1</vt:lpstr>
      <vt:lpstr>RANGE2</vt:lpstr>
      <vt:lpstr>RANGE3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Office of Grant and Research De</dc:creator>
  <cp:lastModifiedBy>Michener, Matthew</cp:lastModifiedBy>
  <cp:lastPrinted>2015-01-20T21:24:57Z</cp:lastPrinted>
  <dcterms:created xsi:type="dcterms:W3CDTF">2000-07-03T19:58:09Z</dcterms:created>
  <dcterms:modified xsi:type="dcterms:W3CDTF">2023-08-04T18:19:50Z</dcterms:modified>
</cp:coreProperties>
</file>